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defaultThemeVersion="166925"/>
  <xr:revisionPtr revIDLastSave="0" documentId="8_{98039F7E-3E90-40D7-9017-F3B2A5A8CBEB}" xr6:coauthVersionLast="47" xr6:coauthVersionMax="47" xr10:uidLastSave="{00000000-0000-0000-0000-000000000000}"/>
  <bookViews>
    <workbookView xWindow="-120" yWindow="-120" windowWidth="51840" windowHeight="21240" xr2:uid="{55AF209D-BB92-40C4-9653-1ED91B7759DE}"/>
  </bookViews>
  <sheets>
    <sheet name="Background" sheetId="14" r:id="rId1"/>
    <sheet name="Cross-reference table" sheetId="10" r:id="rId2"/>
    <sheet name="Languages" sheetId="13" r:id="rId3"/>
  </sheets>
  <definedNames>
    <definedName name="_xlnm._FilterDatabase" localSheetId="1">'Cross-reference table'!$B$7:$AB$85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85" i="10" l="1" a="1"/>
  <c r="J85" i="10" s="1"/>
  <c r="J84" i="10" a="1"/>
  <c r="J84" i="10" s="1"/>
  <c r="J83" i="10" a="1"/>
  <c r="J83" i="10" s="1"/>
  <c r="J82" i="10" a="1"/>
  <c r="J82" i="10" s="1"/>
  <c r="J81" i="10" a="1"/>
  <c r="J81" i="10" s="1"/>
  <c r="J80" i="10" a="1"/>
  <c r="J80" i="10" s="1"/>
  <c r="J79" i="10" a="1"/>
  <c r="J79" i="10" s="1"/>
  <c r="J78" i="10" a="1"/>
  <c r="J78" i="10" s="1"/>
  <c r="J77" i="10" a="1"/>
  <c r="J77" i="10" s="1"/>
  <c r="J76" i="10" a="1"/>
  <c r="J76" i="10" s="1"/>
  <c r="J75" i="10" a="1"/>
  <c r="J75" i="10" s="1"/>
  <c r="J74" i="10" a="1"/>
  <c r="J74" i="10" s="1"/>
  <c r="J73" i="10" a="1"/>
  <c r="J73" i="10" s="1"/>
  <c r="J72" i="10" a="1"/>
  <c r="J72" i="10" s="1"/>
  <c r="J71" i="10" a="1"/>
  <c r="J71" i="10" s="1"/>
  <c r="J70" i="10" a="1"/>
  <c r="J70" i="10" s="1"/>
  <c r="J69" i="10" a="1"/>
  <c r="J69" i="10" s="1"/>
  <c r="J68" i="10" a="1"/>
  <c r="J68" i="10" s="1"/>
  <c r="J67" i="10" a="1"/>
  <c r="J67" i="10" s="1"/>
  <c r="J66" i="10" a="1"/>
  <c r="J66" i="10" s="1"/>
  <c r="J65" i="10" a="1"/>
  <c r="J65" i="10" s="1"/>
  <c r="J64" i="10" a="1"/>
  <c r="J64" i="10" s="1"/>
  <c r="J63" i="10" a="1"/>
  <c r="J63" i="10" s="1"/>
  <c r="J62" i="10" a="1"/>
  <c r="J62" i="10" s="1"/>
  <c r="J61" i="10" a="1"/>
  <c r="J61" i="10" s="1"/>
  <c r="J60" i="10" a="1"/>
  <c r="J60" i="10" s="1"/>
  <c r="J59" i="10" a="1"/>
  <c r="J59" i="10" s="1"/>
  <c r="J58" i="10" a="1"/>
  <c r="J58" i="10" s="1"/>
  <c r="J57" i="10" a="1"/>
  <c r="J57" i="10" s="1"/>
  <c r="J56" i="10" a="1"/>
  <c r="J56" i="10" s="1"/>
  <c r="J55" i="10" a="1"/>
  <c r="J55" i="10" s="1"/>
  <c r="J54" i="10" a="1"/>
  <c r="J54" i="10" s="1"/>
  <c r="J53" i="10" a="1"/>
  <c r="J53" i="10" s="1"/>
  <c r="J52" i="10" a="1"/>
  <c r="J52" i="10" s="1"/>
  <c r="J51" i="10" a="1"/>
  <c r="J51" i="10" s="1"/>
  <c r="J50" i="10" a="1"/>
  <c r="J50" i="10" s="1"/>
  <c r="J49" i="10" a="1"/>
  <c r="J49" i="10" s="1"/>
  <c r="J48" i="10" a="1"/>
  <c r="J48" i="10" s="1"/>
  <c r="J47" i="10" a="1"/>
  <c r="J47" i="10" s="1"/>
  <c r="J46" i="10" a="1"/>
  <c r="J46" i="10" s="1"/>
  <c r="J45" i="10" a="1"/>
  <c r="J45" i="10" s="1"/>
  <c r="J44" i="10" a="1"/>
  <c r="J44" i="10" s="1"/>
  <c r="J43" i="10" a="1"/>
  <c r="J43" i="10" s="1"/>
  <c r="J42" i="10" a="1"/>
  <c r="J42" i="10" s="1"/>
  <c r="J41" i="10" a="1"/>
  <c r="J41" i="10" s="1"/>
  <c r="J40" i="10" a="1"/>
  <c r="J40" i="10" s="1"/>
  <c r="J39" i="10" a="1"/>
  <c r="J39" i="10" s="1"/>
  <c r="J38" i="10" a="1"/>
  <c r="J38" i="10" s="1"/>
  <c r="J37" i="10" a="1"/>
  <c r="J37" i="10" s="1"/>
  <c r="J36" i="10" a="1"/>
  <c r="J36" i="10" s="1"/>
  <c r="J35" i="10" a="1"/>
  <c r="J35" i="10" s="1"/>
  <c r="J34" i="10" a="1"/>
  <c r="J34" i="10" s="1"/>
  <c r="J33" i="10" a="1"/>
  <c r="J33" i="10" s="1"/>
  <c r="J32" i="10" a="1"/>
  <c r="J32" i="10" s="1"/>
  <c r="J31" i="10" a="1"/>
  <c r="J31" i="10" s="1"/>
  <c r="J30" i="10" a="1"/>
  <c r="J30" i="10" s="1"/>
  <c r="J29" i="10" a="1"/>
  <c r="J29" i="10" s="1"/>
  <c r="J28" i="10" a="1"/>
  <c r="J28" i="10" s="1"/>
  <c r="J27" i="10" a="1"/>
  <c r="J27" i="10" s="1"/>
  <c r="J26" i="10" a="1"/>
  <c r="J26" i="10" s="1"/>
  <c r="J25" i="10" a="1"/>
  <c r="J25" i="10" s="1"/>
  <c r="J24" i="10" a="1"/>
  <c r="J24" i="10" s="1"/>
  <c r="J23" i="10" a="1"/>
  <c r="J23" i="10" s="1"/>
  <c r="J22" i="10" a="1"/>
  <c r="J22" i="10" s="1"/>
  <c r="J21" i="10" a="1"/>
  <c r="J21" i="10" s="1"/>
  <c r="J20" i="10" a="1"/>
  <c r="J20" i="10" s="1"/>
  <c r="J19" i="10" a="1"/>
  <c r="J19" i="10" s="1"/>
  <c r="J18" i="10" a="1"/>
  <c r="J18" i="10" s="1"/>
  <c r="J17" i="10" a="1"/>
  <c r="J17" i="10" s="1"/>
  <c r="J16" i="10" a="1"/>
  <c r="J16" i="10" s="1"/>
  <c r="J15" i="10" a="1"/>
  <c r="J15" i="10" s="1"/>
  <c r="J14" i="10" a="1"/>
  <c r="J14" i="10" s="1"/>
  <c r="J13" i="10" a="1"/>
  <c r="J13" i="10" s="1"/>
  <c r="J12" i="10" a="1"/>
  <c r="J12" i="10" s="1"/>
  <c r="J11" i="10" a="1"/>
  <c r="J11" i="10" s="1"/>
  <c r="J10" i="10" a="1"/>
  <c r="J10" i="10" s="1"/>
  <c r="J9" i="10" a="1"/>
  <c r="J9" i="10" s="1"/>
  <c r="J8" i="10" a="1"/>
  <c r="J8" i="10" s="1"/>
  <c r="K7" i="10" a="1"/>
  <c r="K7" i="10" s="1"/>
  <c r="G7" i="10" a="1"/>
  <c r="G7" i="10" s="1"/>
  <c r="D3" i="10" a="1"/>
  <c r="D3" i="10" s="1"/>
  <c r="J7" i="10" a="1"/>
  <c r="J7" i="10" s="1"/>
  <c r="I7" i="10" a="1"/>
  <c r="I7" i="10" s="1"/>
  <c r="H7" i="10" a="1"/>
  <c r="H7" i="10" s="1"/>
  <c r="F7" i="10" a="1"/>
  <c r="F7" i="10" s="1"/>
  <c r="E7" i="10" a="1"/>
  <c r="E7" i="10" s="1"/>
  <c r="D7" i="10" a="1"/>
  <c r="D7" i="10" s="1"/>
  <c r="C7" i="10" a="1"/>
  <c r="C7" i="10" s="1"/>
  <c r="B7" i="10" a="1"/>
  <c r="B7" i="10" s="1"/>
  <c r="B64" i="14" a="1"/>
  <c r="B64" i="14" s="1"/>
  <c r="B7" i="14" a="1"/>
  <c r="B7" i="14" s="1"/>
  <c r="B29" i="14" a="1"/>
  <c r="B29" i="14" s="1"/>
  <c r="B5" i="14" a="1"/>
  <c r="B5" i="14" s="1"/>
  <c r="B4" i="14" a="1"/>
  <c r="B4" i="1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<sst xmlns="http://schemas.openxmlformats.org/spreadsheetml/2006/main" count="1507" uniqueCount="1067">
  <si>
    <t>3.1</t>
  </si>
  <si>
    <t>3.3</t>
  </si>
  <si>
    <t>3.4</t>
  </si>
  <si>
    <t>3.4.1</t>
  </si>
  <si>
    <t>6.1</t>
  </si>
  <si>
    <t>6.3</t>
  </si>
  <si>
    <t>7.2</t>
  </si>
  <si>
    <t>7.3</t>
  </si>
  <si>
    <t>9.6</t>
  </si>
  <si>
    <t>6.1, 6.2, 8.2, 8.3</t>
  </si>
  <si>
    <t>6.1.2</t>
  </si>
  <si>
    <t>6.1.1</t>
  </si>
  <si>
    <t>ISO/IEC 27002:2022</t>
  </si>
  <si>
    <t>5.9, 5.12</t>
  </si>
  <si>
    <t>5.7</t>
  </si>
  <si>
    <t>5.31, 5.35, 5.36, 8.34</t>
  </si>
  <si>
    <t>5.31, 5.35, 5.36</t>
  </si>
  <si>
    <t>NIST CSF 1.1</t>
  </si>
  <si>
    <t>NIST CSF 2.0</t>
  </si>
  <si>
    <t>4.2.3.1, 4.2.3.2, 4.2.3.3, 4.2.3.8, 4.2.3.9, 4.2.3.10, 4.2.3.11, 4.2.3.12, 4.2.3.13, 4.3.2.6.3, 4.3.2.6.5, 4.3.2.6.6, 4.3.3.2.6, 4.3.4.2</t>
  </si>
  <si>
    <t>SP 02.01, SP 03.01</t>
  </si>
  <si>
    <t>ID.RA-1, ID.RA-2, ID.RA-3, ID.RA-4, ID.RA-5, ID.RA-6, ID.GV-4, ID.RM-1, ID.RM-2, ID.RM-3</t>
  </si>
  <si>
    <t>NIS CG Reference document</t>
  </si>
  <si>
    <t>3.3.1 Risk management framework</t>
  </si>
  <si>
    <t>ID.RM-2, ID.RM-3</t>
  </si>
  <si>
    <t>ID.RA-5</t>
  </si>
  <si>
    <t>ID.RA-05</t>
  </si>
  <si>
    <t>2.2 All Hazard approach</t>
  </si>
  <si>
    <t>4.2.3.4, 4.2.3.6</t>
  </si>
  <si>
    <t>ID.RA-1</t>
  </si>
  <si>
    <t>3.4.1 Asset classification</t>
  </si>
  <si>
    <t>ID.RA-2, ID.RA-3</t>
  </si>
  <si>
    <t>ID.RA-02, ID.RA-03</t>
  </si>
  <si>
    <t>ID.RA-2, ID.RA-3, ID.RA-4, ID.RA-5, ID.RA-6</t>
  </si>
  <si>
    <t>ID.RA-4, ID.RA-5, ID.RA-6, ID.RM-2, ID.RM-3</t>
  </si>
  <si>
    <t>ID.RA-04, ID.RA-05, ID.RA-06, GV.RM-2, GV.RM-3</t>
  </si>
  <si>
    <t>4.4.2.3, 4.4.3</t>
  </si>
  <si>
    <t>ID.RM-1</t>
  </si>
  <si>
    <t>ID.IM-01</t>
  </si>
  <si>
    <t>3.3.2 Policies and procedures to assess the effectiveness of security measures
3.3.4 Independent review of information and network security</t>
  </si>
  <si>
    <t>4.4.2.3, 4.4.4</t>
  </si>
  <si>
    <t>PR.IP-8</t>
  </si>
  <si>
    <t>ID.IM-03</t>
  </si>
  <si>
    <t>3.3.2 Policies and procedures to assess the effectiveness of security measures
3.3.3 Compliance monitoring</t>
  </si>
  <si>
    <t>4.3.2.2.1, 4.3.2.2.2, 4.3.2.6</t>
  </si>
  <si>
    <t>SP 01</t>
  </si>
  <si>
    <t>5.1, 5.36</t>
  </si>
  <si>
    <t>ID.GV-1, ID.GV-3, ID.BE-3</t>
  </si>
  <si>
    <t>3.2.1 Network and information security policy</t>
  </si>
  <si>
    <t>5.1, 5.37</t>
  </si>
  <si>
    <t>ID.GV-4</t>
  </si>
  <si>
    <t>GV.OC-4</t>
  </si>
  <si>
    <t>5.4, 6.3</t>
  </si>
  <si>
    <t>ID.GV-2, ID.AM-6, DE.DP-1, PR.AT-5</t>
  </si>
  <si>
    <t>GV.RR-02, PR.AT-02</t>
  </si>
  <si>
    <t>3.2.2 Roles, responsibilities and authorities</t>
  </si>
  <si>
    <t>5.12, 5.36</t>
  </si>
  <si>
    <t>ID.GV-1, ID.GV-3, ID.GV-4</t>
  </si>
  <si>
    <t>PR.AC-5, PR.DS-3</t>
  </si>
  <si>
    <t>PR.IR-01</t>
  </si>
  <si>
    <t>4.3.4.3.1, 4.3.4.3.4</t>
  </si>
  <si>
    <t>5.21, 5.23</t>
  </si>
  <si>
    <t>ID.SC-1, ID.SC-3, ID.SC-4</t>
  </si>
  <si>
    <t>GV.SC-01, GV.SC-05, GV.SC-07</t>
  </si>
  <si>
    <t>3.9.6 Security in acquisition of ICT services, ICT 
systems or ICT products</t>
  </si>
  <si>
    <t>SP 06.02</t>
  </si>
  <si>
    <t>PR.IP-1, PR.IP-3</t>
  </si>
  <si>
    <t>ID.RA-07, PR.PS-01</t>
  </si>
  <si>
    <t>3.9.1 Configuration management</t>
  </si>
  <si>
    <t>4.3.4.3.2, 4.3.4.3.3, 4.3.4.3.5</t>
  </si>
  <si>
    <t>PR.AC-3</t>
  </si>
  <si>
    <t>3.9.2 Change management and maintenance</t>
  </si>
  <si>
    <t>4.3.4.3.2, 4.3.4.3.3, 4.3.4.3.5, 4.3.4.3.7</t>
  </si>
  <si>
    <t>SP 11</t>
  </si>
  <si>
    <t>7.13, 8.31, 8.32</t>
  </si>
  <si>
    <t>PR.AC-3, ID.AM-1</t>
  </si>
  <si>
    <t>3.9.2 Change management and maintenance
3.9.5 Security patch management</t>
  </si>
  <si>
    <t>4.3.4.3.1</t>
  </si>
  <si>
    <t>8.29, 8.33, 8.34</t>
  </si>
  <si>
    <t>DE.CM-8, DE.DP-3, RS.MI-3</t>
  </si>
  <si>
    <t>ID.IM-02, ID.RA-01, ID.RA-06</t>
  </si>
  <si>
    <t>3.9.4 Security testing</t>
  </si>
  <si>
    <t>SP 02.02 RE 2, SP 03.03</t>
  </si>
  <si>
    <t>SP 02.02 RE 3</t>
  </si>
  <si>
    <t>8.8</t>
  </si>
  <si>
    <t>ID.RA-1, ID.RA-5, PR.IP-12, RS.AN-5, RS.MI-3</t>
  </si>
  <si>
    <t>ID.RA-01, ID.RA-05, ID.RA-06, ID.RA-08, PR.PS-02</t>
  </si>
  <si>
    <t>3.9.3 Vulnerability handling and disclosure</t>
  </si>
  <si>
    <t>4.3.4.3</t>
  </si>
  <si>
    <t>8.25, 8.31</t>
  </si>
  <si>
    <t>ID.AM-08</t>
  </si>
  <si>
    <t>PR.IP-2</t>
  </si>
  <si>
    <t>3.9.7 Secure development life cycle</t>
  </si>
  <si>
    <t>4.2.3.5, 4.3.3.4</t>
  </si>
  <si>
    <t>SP 02.03</t>
  </si>
  <si>
    <t>8.16, 8.20, 8.22</t>
  </si>
  <si>
    <t>PR.AC-3, PR.AC-5</t>
  </si>
  <si>
    <t>PR.AA-03, PR.AA-05, PR.IR-01</t>
  </si>
  <si>
    <t>3.9.8 Network security
3.9.9 Network segmentation</t>
  </si>
  <si>
    <t>DE.CM-4, DE.CM-5, DE.CM-7</t>
  </si>
  <si>
    <t>DE.CM-01, DE.CM-03, DE.CM-09</t>
  </si>
  <si>
    <t>3.9.10 Protection against malicious and unauthorized software</t>
  </si>
  <si>
    <t>5.22</t>
  </si>
  <si>
    <t>ID.SC-2, ID.SC-3</t>
  </si>
  <si>
    <t>ID.BE-1, ID.SC-1, ID.SC-2, ID.SC-3, ID.SC-4</t>
  </si>
  <si>
    <t>3.8.1 Supply chain policy</t>
  </si>
  <si>
    <t>4.3.4.4.6</t>
  </si>
  <si>
    <t>ID.AM-1, ID.AM-2</t>
  </si>
  <si>
    <t>ID.AM-01, ID.AM-02, ID.AM-04, ID.AM-08</t>
  </si>
  <si>
    <t>3.4.2 Asset Handling</t>
  </si>
  <si>
    <t>4.2.3.4, 4.2.3.6, 4.3.4.4.2, 4.3.4.4.3, 4.3.4.4.6, 
A.2.3.3.8.3</t>
  </si>
  <si>
    <t>ID.AM-1, ID.AM-2, ID.AM-3, ID.AM-4, ID.AM-5, PR.IP-1</t>
  </si>
  <si>
    <t>ID.AM-01, ID.AM-02, ID.AM-03, ID.AM-04, ID.AM-05, PR.PS-01</t>
  </si>
  <si>
    <t>3.4.1 Asset classification
3.4.4 Asset inventory</t>
  </si>
  <si>
    <t>4.2.3.4, 4.3.3.2, A.2.3.3.8.3</t>
  </si>
  <si>
    <t>ID.AM-1, ID.AM-2, ID.AM-3, ID.AM-4, ID.AM-5 PR.IP-1</t>
  </si>
  <si>
    <t>3.4.4 Asset inventory
3.4.5 Return or deletion of assets upon termination 
of employment</t>
  </si>
  <si>
    <t>4.3.3.2</t>
  </si>
  <si>
    <t>SP 01.07</t>
  </si>
  <si>
    <t>PR.AT-5, PR.IP-11</t>
  </si>
  <si>
    <t>PR.AT-02, GV.RR-04</t>
  </si>
  <si>
    <t>3.5.1 Human resources security
3.5.4 Disciplinary process</t>
  </si>
  <si>
    <t>PR.IP-11</t>
  </si>
  <si>
    <t>GV.RR-04</t>
  </si>
  <si>
    <t>3.5.3 Termination or change of employment procedures</t>
  </si>
  <si>
    <t>5.10, 6.6</t>
  </si>
  <si>
    <t>PR.AT-3, PR.AT-4, PR.AT-5</t>
  </si>
  <si>
    <t>PR.AT-02</t>
  </si>
  <si>
    <t>4.3.3.2.2, 4.3.3.2.3</t>
  </si>
  <si>
    <t>SP 01.04</t>
  </si>
  <si>
    <t>3.5.2 Background checks</t>
  </si>
  <si>
    <t>4.3.2.4</t>
  </si>
  <si>
    <t>PR.AT-1</t>
  </si>
  <si>
    <t>PR.AT-01</t>
  </si>
  <si>
    <t>3.6.2 Security training</t>
  </si>
  <si>
    <t>4.3.2.3.3, 4.3.2.6, 4.4.3</t>
  </si>
  <si>
    <t>5.1, 9.3</t>
  </si>
  <si>
    <t>5.4</t>
  </si>
  <si>
    <t>GV.PO-01, GV.PO-02, PR.AT-4</t>
  </si>
  <si>
    <t>PR.PS-04, PR.AT-02</t>
  </si>
  <si>
    <t>3.1 Top management commitment and accountability</t>
  </si>
  <si>
    <t>4.3.3.6, 4.3.3.7</t>
  </si>
  <si>
    <t>SR 2.1</t>
  </si>
  <si>
    <t>PR.AC-4, PR.AC-7</t>
  </si>
  <si>
    <t>PR.AA-03, PR.AA-05</t>
  </si>
  <si>
    <t>3.7.1 Access control policy
3.7.5 Identification</t>
  </si>
  <si>
    <t>4.3.3.5.1, 4.3.3.5.4, 4.3.3.5.5, 4.3.3.5.8</t>
  </si>
  <si>
    <t>5.18</t>
  </si>
  <si>
    <t>PR-AC.1</t>
  </si>
  <si>
    <t>PR.AA-01, PR.AA-05</t>
  </si>
  <si>
    <t>3.7.2 Management of access rights</t>
  </si>
  <si>
    <t>4.3.3.6.4</t>
  </si>
  <si>
    <t>5.15, 8.15</t>
  </si>
  <si>
    <t>PR.PT-1, PR.AC-7</t>
  </si>
  <si>
    <t>3.7.2 Management of access rights
3.11.2 Monitoring and logging</t>
  </si>
  <si>
    <t>4.3.3.6.4, 4.3.3.6.7</t>
  </si>
  <si>
    <t>8.16</t>
  </si>
  <si>
    <t>PR.PS-04, PR.AA-03</t>
  </si>
  <si>
    <t>3.11.2 Monitoring and logging</t>
  </si>
  <si>
    <t>4.3.3.7</t>
  </si>
  <si>
    <t>PR.AC-4</t>
  </si>
  <si>
    <t>PR.AC-5</t>
  </si>
  <si>
    <t>PR.AA-05</t>
  </si>
  <si>
    <t>3.7.2 Management of access rights
3.7.3 Privileged and administration accounts</t>
  </si>
  <si>
    <t>4.3.3.6.3, 4.3.3.6.4</t>
  </si>
  <si>
    <t>3.7.3 Privileged and administration accounts
3.7.4 Administration systems</t>
  </si>
  <si>
    <t>4.3.3.6.1, 4.3.3.6.3</t>
  </si>
  <si>
    <t>8.5</t>
  </si>
  <si>
    <t>PR.AC-7</t>
  </si>
  <si>
    <t>PR.AA-03</t>
  </si>
  <si>
    <t>3.7.5 Identification
3.7.6 Authentication
3.7.7 Multi-factor authentication</t>
  </si>
  <si>
    <t>SR 4.3</t>
  </si>
  <si>
    <t>PR.DS-1, PR.DS-2, PR.PT-4</t>
  </si>
  <si>
    <t>PR.DS-01, PR.DS-02, PR.IR-01, PR.AA-06</t>
  </si>
  <si>
    <t>3.10.1 Policies and procedures on cryptography</t>
  </si>
  <si>
    <t>SR 1.8, SR 1.9, SR 3.1, SR 4.1, SR 4.3</t>
  </si>
  <si>
    <t>8.24</t>
  </si>
  <si>
    <t>ID.AM-08, PR.PS-06</t>
  </si>
  <si>
    <t>4.3.4.5.1, 4.3.4.5.2, 4.3.4.5.3, 4.3.4.5.4</t>
  </si>
  <si>
    <t>5.24, 5.30</t>
  </si>
  <si>
    <t>RS.RP-1, RS.CO-1, RS.IM-2</t>
  </si>
  <si>
    <t>3.11.1 Incident handling policy</t>
  </si>
  <si>
    <t>4.3.4.5.3, 4.3.4.5.4, 4.3.4.5.5</t>
  </si>
  <si>
    <t>6.8</t>
  </si>
  <si>
    <t>RS.CO-1, RS.CO-2</t>
  </si>
  <si>
    <t>3.11.3 Event reporting</t>
  </si>
  <si>
    <t>5.24, 5.28, 8.15, 8.16, 8.17</t>
  </si>
  <si>
    <t>DE.CM, RS.AN-1</t>
  </si>
  <si>
    <t>3.11.2 Monitoring and logging
3.11.4 Event assessment and classification
3.11.5 Incident response</t>
  </si>
  <si>
    <t>4.3.4.5.6, 4.3.4.5.7</t>
  </si>
  <si>
    <t>5.25</t>
  </si>
  <si>
    <t>DE.AE-4, RS.AN-2, RS.AN-4</t>
  </si>
  <si>
    <t>3.11.4 Event assessment and classification</t>
  </si>
  <si>
    <t>4.3.4.5.6, 4.3.4.5.7, 4.3.4.5.8, 4.3.4.5.9, 4.3.4.5.10</t>
  </si>
  <si>
    <t>5.24, 5.25, 5.26, 5.37</t>
  </si>
  <si>
    <t>PR.IP-9, RS.RP-1, RS.CO-3, RS.CO-4, RS.AN-3, RS.MI-1, RS.MI-2, 
RC.RP-1, RC.CO-1, RC.CO-2, RC.CO-3</t>
  </si>
  <si>
    <t>ID.IM-04, RS.MA-01, RS.MA-04, RS.CO-03, RS.AN-06, RS.MI-01, 
RS.MI-02, RC.RP-01, RC.CO-03, RC.CO-04</t>
  </si>
  <si>
    <t>3.11.5 Incident response</t>
  </si>
  <si>
    <t>4.3.4.5.8, 4.3.4.5.11</t>
  </si>
  <si>
    <t>5.27, 5.28</t>
  </si>
  <si>
    <t>DE.AE-2, RS.IM-1</t>
  </si>
  <si>
    <t>3.11.6 Post-incident review</t>
  </si>
  <si>
    <t>4.3.4.5.3, 4.3.4.5.5</t>
  </si>
  <si>
    <t>5.26, 5.29, 5.30</t>
  </si>
  <si>
    <t>ID.GV-2, ID.GV-3, RC.CO-3</t>
  </si>
  <si>
    <t>5.24, 5.26, 5.28, 5.29</t>
  </si>
  <si>
    <t>PR.DS-2, PR.PT-4</t>
  </si>
  <si>
    <t>PR.DS-02, PR.AA-06, PR.IR-01</t>
  </si>
  <si>
    <t>4.3.4.5.8</t>
  </si>
  <si>
    <t>5.24, 5.27</t>
  </si>
  <si>
    <t>PR.IP-7, DE.DP-5, RS.IM-1, RS.IM-2, RC.IM-1, RC.IM-2</t>
  </si>
  <si>
    <t>4.3.4.5</t>
  </si>
  <si>
    <t>5.30, 5.37</t>
  </si>
  <si>
    <t>3.12.1 Business continuity and disaster recovery plans</t>
  </si>
  <si>
    <t>4.3.4.3.9</t>
  </si>
  <si>
    <t>8.13, 8.14</t>
  </si>
  <si>
    <t>PR.IP-4</t>
  </si>
  <si>
    <t>PR.DS-11</t>
  </si>
  <si>
    <t>3.12.2 Backup and redundancy management</t>
  </si>
  <si>
    <t>5.33, 8.13, 8.14, 8.24</t>
  </si>
  <si>
    <t>PR.IP-4, RC.RP-1, RC.IM-1, RC.IM-2</t>
  </si>
  <si>
    <t>5.5, 5.29, 5.30, 7.13</t>
  </si>
  <si>
    <t>3.12.3 Crisis management</t>
  </si>
  <si>
    <t>4.3.2.4.1, 4.3.2.4.2</t>
  </si>
  <si>
    <t>ID.AM-1, ID.RA-1</t>
  </si>
  <si>
    <t>ID.AM-01, ID.RA-01</t>
  </si>
  <si>
    <t>4.2.3.5</t>
  </si>
  <si>
    <t>8.20, 8.21</t>
  </si>
  <si>
    <t>4.3.3.4</t>
  </si>
  <si>
    <t>8.22</t>
  </si>
  <si>
    <t>4.3.4.3.8</t>
  </si>
  <si>
    <t>8.7, 8.19</t>
  </si>
  <si>
    <t>DE.CM-1, DE.CM-2, DE.CM-4, DE.CM-5, DE.CM-7</t>
  </si>
  <si>
    <t>DE.CM-01, DE.CM-02, DE.CM-03, DE.CM-09</t>
  </si>
  <si>
    <t>4.3.3.6</t>
  </si>
  <si>
    <t>5.15, 5.17, 8.5</t>
  </si>
  <si>
    <t>PR.AC-1, PR.AC-7</t>
  </si>
  <si>
    <t>PR.AA-01, PR.AA-03</t>
  </si>
  <si>
    <t>4.3.3.5</t>
  </si>
  <si>
    <t>5.15, 8.2</t>
  </si>
  <si>
    <t>4.3.4.4</t>
  </si>
  <si>
    <t>5.12, 5.14, 5.33, 5.34, 7.1, 7.9, 7.10, 8.3, 8.24</t>
  </si>
  <si>
    <t>PR.DS-1, PR.DS-2, PR.DS-5, PR.IP-6</t>
  </si>
  <si>
    <t>PR.DS-01, PR.DS-02, PR.DS-10</t>
  </si>
  <si>
    <t>4.3.4.3.7</t>
  </si>
  <si>
    <t>8.8, 8.19, 8.32</t>
  </si>
  <si>
    <t>PR.IP-3, PR.MA-1</t>
  </si>
  <si>
    <t>PR.PS-01, PR.PS-02, PR.PS-03</t>
  </si>
  <si>
    <t>8.9, 8.27, 8.32</t>
  </si>
  <si>
    <t>5.30, 8.10, 8.13</t>
  </si>
  <si>
    <t>PR.IP-4, PR.IP-6, PR.IP-9, PR.IP-10</t>
  </si>
  <si>
    <t>5.5, 5.24, 5.26</t>
  </si>
  <si>
    <t>RS.RP, RC.RP, RC.CO-3</t>
  </si>
  <si>
    <t>RS.MA-05, RC.RP-02, RC.CO-03</t>
  </si>
  <si>
    <t>6.10.1, 6.10.3</t>
  </si>
  <si>
    <t>5.28, 5.34, 8.15</t>
  </si>
  <si>
    <t>PR.PT-1, DE.AE-3</t>
  </si>
  <si>
    <t>PR.PS-04, DE.CM-01</t>
  </si>
  <si>
    <t>7.1, 7.2, 7.4</t>
  </si>
  <si>
    <t>PR.AC-2, DE.CM-2</t>
  </si>
  <si>
    <t>3.13.1 Perimeter and physical access control</t>
  </si>
  <si>
    <t>3.13.2 Protection against physical and environmental threats</t>
  </si>
  <si>
    <t>7.3, 7.5</t>
  </si>
  <si>
    <t>PR.IP-5</t>
  </si>
  <si>
    <t>PR.IP-02</t>
  </si>
  <si>
    <t>PR.AA-06, DE.CM-02</t>
  </si>
  <si>
    <t>7.11</t>
  </si>
  <si>
    <t>ID.BE-1, ID.BE-2, ID.SC-2</t>
  </si>
  <si>
    <t>3.13.3 Supporting utilities</t>
  </si>
  <si>
    <t>CRITICAL-1, CRITICAL-2, ASSET-1, ASSET-2, RESPONSE-4, THIRD-PARTIES-1</t>
  </si>
  <si>
    <t>THREAT-1, THREAT-2</t>
  </si>
  <si>
    <t>ASSET-1, ASSET-2, PROGRAM-1, PROGRAM-2, ARCHITECTURE-1</t>
  </si>
  <si>
    <t>THIRD-PARTIES-1, THIRD-PARTIES-2, ARCHITECTURE-4</t>
  </si>
  <si>
    <t>ASSET-4, THREAT-1, THREAT-2</t>
  </si>
  <si>
    <t>THREAT-1, THIRD-PARTIES-2</t>
  </si>
  <si>
    <t>THREAT-2, THIRD-PARTIES-2</t>
  </si>
  <si>
    <t>ARCHITECTURE-4, THIRD-PARTIES-2</t>
  </si>
  <si>
    <t>ARCHITECTURE-2</t>
  </si>
  <si>
    <t>PROGRAM-2, ASSET-1, ASSET-2, ASSET-5</t>
  </si>
  <si>
    <t>ASSET-1, ASSET-2, ASSET-3, ACCESS-1, ACCESS-2</t>
  </si>
  <si>
    <t>ACCESS-1</t>
  </si>
  <si>
    <t>WORKFORCE-2, WORKFORCE-4</t>
  </si>
  <si>
    <t>WORKFORCE-4</t>
  </si>
  <si>
    <t>ACCESS-1, ACCESS-2, ACCESS-3, ACCESS-4, ARCHITECTURE-3</t>
  </si>
  <si>
    <t>ACCESS-1, SITUATION-1</t>
  </si>
  <si>
    <t>ARCHITECTURE-5</t>
  </si>
  <si>
    <t>RESPONSE-1, WORKFORCE-2</t>
  </si>
  <si>
    <t>RESPONSE-3</t>
  </si>
  <si>
    <t>RESPONSE-3, RESPONSE-4</t>
  </si>
  <si>
    <t>RESPONSE-2, RESPONSE-3, RESPONSE-5</t>
  </si>
  <si>
    <t>RESPONSE-3, RESPONSE-5, ARCHITECTURE-5</t>
  </si>
  <si>
    <t>THREAT-1</t>
  </si>
  <si>
    <t>ASSET-3, ARCHITECTURE-3, SITUATION-1</t>
  </si>
  <si>
    <t>Art.21(2.c)</t>
  </si>
  <si>
    <t>Art.21(2.b)</t>
  </si>
  <si>
    <t>Art.21(2.h)</t>
  </si>
  <si>
    <t>Art.21(2.a, 2.f)</t>
  </si>
  <si>
    <t>Art.21(2.i)</t>
  </si>
  <si>
    <t>Art.21(2.a)</t>
  </si>
  <si>
    <t>Art.21(2.e)</t>
  </si>
  <si>
    <t>Art.21(2.d)</t>
  </si>
  <si>
    <t>Art.21(2.i, 2.j)</t>
  </si>
  <si>
    <t>Art.20(1)</t>
  </si>
  <si>
    <t>Art.21(2.g)</t>
  </si>
  <si>
    <t>Art.21(2.i, 2.j),
Art.21(2.b)</t>
  </si>
  <si>
    <t>Annex A Cyber hygiene</t>
  </si>
  <si>
    <t>13.2 Protection against physical and environmental threats</t>
  </si>
  <si>
    <t>3.8.2 Directory of suppliers and service providers</t>
  </si>
  <si>
    <t>6.6 Familiarity among management</t>
  </si>
  <si>
    <t>2.1 Information security policies and procedures</t>
  </si>
  <si>
    <t>2.3 Selection of security procedures</t>
  </si>
  <si>
    <t>2.1.1 Information security policy and procedures – extended instructions</t>
  </si>
  <si>
    <t>1.1 Cyber security risk management procedure</t>
  </si>
  <si>
    <t>1.1.1 Risk management procedure – extended instructions</t>
  </si>
  <si>
    <t>1.5 Risk treatment</t>
  </si>
  <si>
    <t>1.6.1 Risk management effectiveness assessment and metrics – extended instructions</t>
  </si>
  <si>
    <t>1.6 Risk management effectiveness assessment and metrics</t>
  </si>
  <si>
    <t>3.9 Malicious traffic protections</t>
  </si>
  <si>
    <t>1.3 Identifying needs and activities</t>
  </si>
  <si>
    <t>5.2 Asset list and asset classification</t>
  </si>
  <si>
    <t>5.1 Asset management procedures and instructions</t>
  </si>
  <si>
    <t>5.3 Using the asset list</t>
  </si>
  <si>
    <t>6.1 Human resources security procedures</t>
  </si>
  <si>
    <t>6.4 Background checks</t>
  </si>
  <si>
    <t>6.2 Human resources security practices</t>
  </si>
  <si>
    <t>6.5 Staff training</t>
  </si>
  <si>
    <t>6.5.1 Staff training – extended instructions</t>
  </si>
  <si>
    <t>4.2 Supply chain risk management</t>
  </si>
  <si>
    <t>4.1 List of suppliers and service providers</t>
  </si>
  <si>
    <t>7.1 Access control procedures</t>
  </si>
  <si>
    <t>7.2 Continuous maintenance of access control and access rights</t>
  </si>
  <si>
    <t>7.3 Access control monitoring</t>
  </si>
  <si>
    <t>7.4 Access control records and the principle of least privilege</t>
  </si>
  <si>
    <t>7.5 Administrator accounts</t>
  </si>
  <si>
    <t>7.6 Selection of secure authentication methods and reliable authentication</t>
  </si>
  <si>
    <t>3.3 System hardening</t>
  </si>
  <si>
    <t>3.3.1 System hardening of the network and information system is realised systematically and comprehensively – extended instructions</t>
  </si>
  <si>
    <t>3.4 Change and update management</t>
  </si>
  <si>
    <t>3.4.1 Change and update management is systematic – extended instructions</t>
  </si>
  <si>
    <t>3.6 Vulnerability handling and disclosure</t>
  </si>
  <si>
    <t>3.5 Security testing</t>
  </si>
  <si>
    <t>3.2 Security of the object of acquisition</t>
  </si>
  <si>
    <t>3.8 Structural security of networks</t>
  </si>
  <si>
    <t>8.1 Cryptography policies and procedures</t>
  </si>
  <si>
    <t>8.2 Data encryption technologies</t>
  </si>
  <si>
    <t>8.3 Encryption life cycle</t>
  </si>
  <si>
    <t>9.1 Incident response procedures</t>
  </si>
  <si>
    <t>9.9 Incident response life cycle management</t>
  </si>
  <si>
    <t>7.3.1 Access control event log monitoring – extended instructions</t>
  </si>
  <si>
    <t>9.3 Event logging and detection</t>
  </si>
  <si>
    <t>9.2 Incident reporting channels</t>
  </si>
  <si>
    <t>9.4 Incident analysis and classification</t>
  </si>
  <si>
    <t>9.5 Incident handling</t>
  </si>
  <si>
    <t>9.6 Root cause analysis and learning from experiences</t>
  </si>
  <si>
    <t>10.1 Continuity and recovery planning</t>
  </si>
  <si>
    <t>10.2 Backup copies and backup systems</t>
  </si>
  <si>
    <t>10.3 Recovery testing and backup copy protection</t>
  </si>
  <si>
    <t>10.4 Backup communication systems</t>
  </si>
  <si>
    <t>12.1 Premises security and physical access control</t>
  </si>
  <si>
    <t>12.2 Protection against physical and environmental threats</t>
  </si>
  <si>
    <t>12.3 Ensuring the continuity of resources necessary for operations</t>
  </si>
  <si>
    <t>1.2 All-hazards approach</t>
  </si>
  <si>
    <t>11.1 The entity has provided instruction on the basic-level information security practices to staff, subcontractors and other partners</t>
  </si>
  <si>
    <t>11.2 The entity has identified its most critical assets</t>
  </si>
  <si>
    <t>11.3 The entity has protected its network and information system</t>
  </si>
  <si>
    <t>11.4 The entity has separated its critical and vulnerable networks and information systems from other environments</t>
  </si>
  <si>
    <t>11.5 The entity has protected its networks and information systems against malicious and unauthorised software</t>
  </si>
  <si>
    <t>11.6 The entity has organised secure identification into its internal and external services and devices</t>
  </si>
  <si>
    <t>11.7 The entity has separated the administrator accounts and accounts with elevated privileges from other accounts in its systems</t>
  </si>
  <si>
    <t>11.8 The entity has ensured that its confidential data is processed securely</t>
  </si>
  <si>
    <t>11.9 The entity has ensured that its systems are updated regularly and that critical updates are installed without delay</t>
  </si>
  <si>
    <t>11.10 The entity has ensured that its services and devices are configured securely</t>
  </si>
  <si>
    <t>11.11 The entity has ensured that its critical services and information assets are backed up</t>
  </si>
  <si>
    <t>11.12 The entity is prepared to maintain its operations in severe incidents</t>
  </si>
  <si>
    <t>11.13 The entity employs event logging of critical activities</t>
  </si>
  <si>
    <t>1.4 Threat identification</t>
  </si>
  <si>
    <t>1.4.1 Threat analysis – extended instructions</t>
  </si>
  <si>
    <t>3.1 Network and information system protection throughout their life cycle</t>
  </si>
  <si>
    <t>6.3 Confidentiality and obligations</t>
  </si>
  <si>
    <t>9.7 Additional recommendations for significant incidents</t>
  </si>
  <si>
    <t>9.8 Security of information sharing in incidents</t>
  </si>
  <si>
    <t>2.2 Engaging the personnel</t>
  </si>
  <si>
    <t>Liikenne- ja viestintävirasto Traficomin suositus NIS-valvoville viranomaisille kyberturvallisuuden riskienhallinnan toimenpiteistä</t>
  </si>
  <si>
    <t>Finnish Transport and Communications Agency Traficom recommendation on cybersecurity risk management measures for NIS supervisory authorities</t>
  </si>
  <si>
    <t>2.1 Risk management framework</t>
  </si>
  <si>
    <t>2.2 Compliance monitoring</t>
  </si>
  <si>
    <t>3.1 Incident handling policy</t>
  </si>
  <si>
    <t>3.2 Monitoring and logging</t>
  </si>
  <si>
    <t>3.3 Event reporting</t>
  </si>
  <si>
    <t>3.4 Event assessment and classification</t>
  </si>
  <si>
    <t>3.5 Incident response</t>
  </si>
  <si>
    <t>3.6 Post-incident reviews</t>
  </si>
  <si>
    <t>4.1 Business continuity and disaster recovery plans</t>
  </si>
  <si>
    <t>4.2 Backup management</t>
  </si>
  <si>
    <t>4.3 Crisis management</t>
  </si>
  <si>
    <t>5.1 Supply chain security policy</t>
  </si>
  <si>
    <t>5.2 Directory of suppliers and service providers</t>
  </si>
  <si>
    <t>6.1 Security in acquisition of ICT services or ICT products</t>
  </si>
  <si>
    <t>6.2 Secure development life cycle</t>
  </si>
  <si>
    <t>6.3 Configuration management</t>
  </si>
  <si>
    <t>6.4 Change management, repairs and maintenance</t>
  </si>
  <si>
    <t>6.5 Security testing</t>
  </si>
  <si>
    <t>6.4 Change management, repairs and maintenance
6.6 Security patch management</t>
  </si>
  <si>
    <t>6.7 Network security
6.8 Network segmentation</t>
  </si>
  <si>
    <t>6.10 Vulnerability handling and disclosure</t>
  </si>
  <si>
    <t>8.1 Awareness raising and basic cyber hygiene practices
8.2 Security training</t>
  </si>
  <si>
    <t>8.2 Security training</t>
  </si>
  <si>
    <t>9 Cryptography</t>
  </si>
  <si>
    <t>10.2 Background checks</t>
  </si>
  <si>
    <t>10.3 Termination or change of employment procedures</t>
  </si>
  <si>
    <t>10.1 Human resources security
10.4 Disciplinary process</t>
  </si>
  <si>
    <t>11.1 Access control policy</t>
  </si>
  <si>
    <t>11.2 Management of access rights</t>
  </si>
  <si>
    <t>11.3 Privileged accounts and system administration accounts</t>
  </si>
  <si>
    <t>11.5 Identification
11.6 Authentication
11.7 Multi-factor authentication</t>
  </si>
  <si>
    <t>12.1 Asset classification</t>
  </si>
  <si>
    <t>12.2 Handling of information and assets</t>
  </si>
  <si>
    <t>12.4 Asset inventory
12.5 Return or deletion of assets upon termination of employment</t>
  </si>
  <si>
    <t>13.1 Supporting utilities</t>
  </si>
  <si>
    <t>13.3 Perimeter and physical access control</t>
  </si>
  <si>
    <t>1.1 Policy on security of network and information systems</t>
  </si>
  <si>
    <t>1.2 Roles, responsibilities and authorities</t>
  </si>
  <si>
    <t>7 Policies and procedures to assess the effectiveness of cybersecurity risk-management measures</t>
  </si>
  <si>
    <t>2.2 Compliance monitoring
2.3 Independent review of information and network security</t>
  </si>
  <si>
    <t>Art.21(2.g/h/i)</t>
  </si>
  <si>
    <t>4.2 Backup management
4.3 Crisis management</t>
  </si>
  <si>
    <t>Kyberturvallisuuslaki 9 §</t>
  </si>
  <si>
    <t xml:space="preserve">1) kyberturvallisuutta koskevan riskienhallinnan toimintaperiaatteet ja hallintatoimenpiteiden vaikuttavuuden arviointi; </t>
  </si>
  <si>
    <t xml:space="preserve">2) viestintäverkkojen ja tietojärjestelmien turvallisuutta koskevat toimintaperiaatteet; </t>
  </si>
  <si>
    <t>10) varmuuskopiointi, palautumissuunnittelu, kriisinhallinta ja muu toiminnan jatkuvuuden hallinta ja tarvittaessa suojattujen varaviestintäjärjestelmien käyttö;</t>
  </si>
  <si>
    <t>11) perustason tietoturvakäytännöt toiminnan, tietoliikenneturvallisuuden, laitteisto- ja ohjelmistoturvallisuuden ja tietoaineistoturvallisuuden varmistamiseksi;</t>
  </si>
  <si>
    <t xml:space="preserve">12) toimenpiteet viestintäverkkojen ja tietojärjestelmien fyysisen ympäristön ja tilaturvallisuuden sekä välttämättömien resurssien varmistamiseksi. </t>
  </si>
  <si>
    <t>3) viestintäverkkojen ja tietojärjestelmien hankinnan, kehittämisen ja ylläpidon turvallisuus sekä tarvittavat menettelyt haavoittuvuuksien käsittelemiseksi ja julkistamiseksi;</t>
  </si>
  <si>
    <t>4) toimitusketjun välittömien toimittajien tuotteiden ja palveluntarjoajien palvelujen yleinen laatu ja häiriönsietokyky, niihin sisällytetyt hallintatoimenpiteet sekä välittömien toimittajien ja palveluntarjoajien kyberturvallisuuskäytännöt;</t>
  </si>
  <si>
    <t>5) omaisuudenhallinta ja sen turvallisuuden kannalta tärkeiden toimintojen tunnistaminen;</t>
  </si>
  <si>
    <t>6) henkilöstöturvallisuus ja kyberturvallisuuskoulutus;</t>
  </si>
  <si>
    <t xml:space="preserve">7) pääsynhallinnan ja todentamisen menettelyt; </t>
  </si>
  <si>
    <t>8) salausmenetelmien käyttämistä koskevat toimintaperiaatteet ja menettelyt sekä tarvittaessa toimenpiteet suojatun sähköisen viestinnän käyttämiseksi;</t>
  </si>
  <si>
    <t>9) poikkeamien havainnointi ja käsittely turvallisuuden ja toimintavarmuuden palauttamiseksi ja ylläpitämiseksi;</t>
  </si>
  <si>
    <t>CRITICAL-2, RISK-4, RISK-5, Management activities</t>
  </si>
  <si>
    <t>PROGRAM-1, PROGRAM-2, CRITICAL-2, WORKFORCE-2 WORKFORCE-3</t>
  </si>
  <si>
    <t>ASSET-3, ASSET-4, ARCHITECTURE-3, ARCHITECTURE-4</t>
  </si>
  <si>
    <t>ASSET-4</t>
  </si>
  <si>
    <t>ARCHITECTURE-2, ARCHITECTURE-3</t>
  </si>
  <si>
    <t>CRITICAL-1, THIRD-PARTIES-1</t>
  </si>
  <si>
    <t>THIRD-PARTIES-1, THIRD-PARTIES-2, CRITICAL-1, CRITICAL-2, CRITICAL-3, WORKFORCE-1, WORKFORCE-3</t>
  </si>
  <si>
    <t>PROGRAM-2, ASSET-1, ASSET-2, ASSET-5, ARCHITECTURE-5, ARCHITECTURE-6, WORKFORCE-1</t>
  </si>
  <si>
    <t>ASSET-1, ASSET-4 ja 12.5 WORKFORCE-1</t>
  </si>
  <si>
    <t>WORKFORCE-1,  ACCESS-1, ACCESS-2, ACCESS-3</t>
  </si>
  <si>
    <t xml:space="preserve">WORKFORCE-1 </t>
  </si>
  <si>
    <t>WORKFORCE-1, WORKFORCE-2, WORKFORCE-3, WORKFORCE-4</t>
  </si>
  <si>
    <t>ACCESS-1, ACCESS-2, ACCESS-3, ACCESS-4, ARCHITECTURE-3, WORKFORCE-1, SITUATION-1, SITUATION-2</t>
  </si>
  <si>
    <t>RESPONSE-1, RESPONSE-2, RESPONSE-3, RESPONSE-5, CRITICAL-3</t>
  </si>
  <si>
    <t>SITUATION-1, SITUATION-2, SITUATION-3, ASSET-4</t>
  </si>
  <si>
    <t xml:space="preserve">RESPONSE-1, RESPONSE-2 </t>
  </si>
  <si>
    <t>RESPONSE-2, RESPONSE-3</t>
  </si>
  <si>
    <t>RESPONSE-3, RESPONSE-5</t>
  </si>
  <si>
    <t>RESPONSE-3, THREAT-2, CRITICAL-1, CRITICAL-3</t>
  </si>
  <si>
    <t>RESPONSE-4, RESPONSE-5, CRITICAL-3</t>
  </si>
  <si>
    <t>RESPONSE-4, ASSET-1, ASSET-2, CRITICAL-2, ARCHITECTURE-1, ARCHITECTURE-5</t>
  </si>
  <si>
    <t>RISK-1, RISK-2, RISK-3, ARCHITECTURE-3, ACCESS-3</t>
  </si>
  <si>
    <t>RESPONSE-4, CRITICAL-3</t>
  </si>
  <si>
    <t>ACCESS-1, ACCESS-2, ACCESS-3, ACCESS-4, ARCHITECTURE-2, ARCHITECTURE-3, ARCHITECTURE-5</t>
  </si>
  <si>
    <t>CRITICAL-2, RISK-1, RISK-2, RISK-3, RISK-4, RISK-5, THIRD-PARTIES-2,  WORKFORCE-3, WORKFORCE-4</t>
  </si>
  <si>
    <t>PROGRAM-1, PROGRAM-2,  CRITICAL-2,  ARCHITECTURE-1, WORKFORCE-3, Management activities</t>
  </si>
  <si>
    <t xml:space="preserve">RISK-1, RISK-2, RISK-3, RISK-4, THREAT-2, RESPONSE-3 </t>
  </si>
  <si>
    <t>PROGRAM-1, PROGRAM-2</t>
  </si>
  <si>
    <t>WORKFORCE-2</t>
  </si>
  <si>
    <t>RISK-3, RISK-4, CRITICAL-2</t>
  </si>
  <si>
    <t>CRITICAL-2, RISK-1, RISK-2</t>
  </si>
  <si>
    <t>CRITICAL-1, CRITICAL-2, ASSET-1, ASSET-2, THIRD-PARTIES-1, ARCHITECTURE-1</t>
  </si>
  <si>
    <t>THREAT-1, THREAT-2, SITUATION-3</t>
  </si>
  <si>
    <t>CRITICAL-2, RISK-3, RISK-4, RISK-5, WORKFORCE-4</t>
  </si>
  <si>
    <t>CRITICAL-2, RISK-4, RISK-5, PROGRAM-2</t>
  </si>
  <si>
    <t>CRITICAL-2, RISK-4, RISK-5, PROGRAM-1, PROGRAM-2</t>
  </si>
  <si>
    <t>CRITICAL-2, PROGRAM-1, PROGRAM-2, Yleiset hallintatoimet</t>
  </si>
  <si>
    <t>CRITICAL-2, PROGRAM-1, Yleiset hallintatoimet</t>
  </si>
  <si>
    <t>CRITICAL-2, WORKFORCE-1, WORKFORCE-2 WORKFORCE-3, WORKFORCE-4, Yleiset hallintatoimet</t>
  </si>
  <si>
    <t>ASSET-1, ASSET-2, ASSET-3, ASSET-4</t>
  </si>
  <si>
    <t>THIRD-PARTIES-1, THIRD-PARTIES-2, ARCHITECTURE-3, ARCHITECTURE-4</t>
  </si>
  <si>
    <t>ASSET-1, ASSET-3, ASSET-4, ARCHITECTURE-3</t>
  </si>
  <si>
    <t>ASSET-3, ASSET-4, ARCHITECTURE-3</t>
  </si>
  <si>
    <t>ASSET-3, ASSET-4, ARCHITECTURE-3l,
ARCHITECTURE-5h</t>
  </si>
  <si>
    <t>THREAT-1, THIRD-PARTIES-2, ARCHITECTURE-4</t>
  </si>
  <si>
    <t>SITUATION-2, ARCHITECTURE-3</t>
  </si>
  <si>
    <t>CRITICAL-2, CRITICAL-3, THIRD-PARTIES-1, THIRD-PARTIES-2</t>
  </si>
  <si>
    <t>ASSET-1, ASSET-2, ASSET-5</t>
  </si>
  <si>
    <t>ASSET-1, ASSET-2, THIRD-PARTIES-1, ARCHITECTURE-3, ARCHITECTURE-5</t>
  </si>
  <si>
    <t>THIRD-PARTIES-1, THIRD-PARTIES-2, WORKFORCE-1, WORKFORCE-2, WORKFORCE-3, Yleiset hallintatoimet</t>
  </si>
  <si>
    <t>ACCESS-1, ACCESS-2, ACCESS-3, THIRD-PARTIES-1, THIRD-PARTIES-2, WORKFORCE-1</t>
  </si>
  <si>
    <t>THIRD-PARTIES-2, WORKFORCE-1, WORKFORCE-3</t>
  </si>
  <si>
    <t>WORKFORCE-1</t>
  </si>
  <si>
    <t>CRITICAL-2, RISK-1, WORKFORCE-4, PROGRAM-2</t>
  </si>
  <si>
    <t>ACCESS-1, ACCESS-2, ACCESS-3, ACCESS-4, WORKFORCE-1</t>
  </si>
  <si>
    <t>ACCESS-2, ACCESS-3, SITUATION-2</t>
  </si>
  <si>
    <t>ACCESS-1, ACCESS-2, SITUATION-1, SITUATION-2, SITUATION-3</t>
  </si>
  <si>
    <t>ACCESS-1, ACCESS-2, ACCESS-3, ARCHITECTURE-3</t>
  </si>
  <si>
    <t>ACCESS-2, ACCESS-3, SITUATION-1, SITUATION-2, SITUATION-3</t>
  </si>
  <si>
    <t>SITUATION-2, SITUATION-3</t>
  </si>
  <si>
    <t>CRITICAL-3, SITUATION-3, RESPONSE-3</t>
  </si>
  <si>
    <t>CRITICAL-3, RESPONSE-3, RESPONSE-4, RESPONSE-5</t>
  </si>
  <si>
    <t>CRITICAL-2, ASSET-2, RESPONSE-4</t>
  </si>
  <si>
    <t>RESPONSE-4, ARCHITECTURE-1, ARCHITECTURE-5</t>
  </si>
  <si>
    <t>WORKFORCE-1, WORKFORCE-2, PROGRAM-1, PROGRAM-2, Yleisiä hallintatoimia</t>
  </si>
  <si>
    <t>CRITICAL-1, ASSET-1, ASSET-2, ASSET-5</t>
  </si>
  <si>
    <t>ACCESS-2, ACCESS-3, ARCHITECTURE-2, ARCHITECTURE-3</t>
  </si>
  <si>
    <t>ASSET-3, ARCHITECTURE-3, ARCHITECTURE-4</t>
  </si>
  <si>
    <t>THIRD-PARTIES-2, ARCHITECTURE-5, ARCHITECTURE-6</t>
  </si>
  <si>
    <t>ASSET-4, THREAT-1</t>
  </si>
  <si>
    <t>CRITICAL-1, CRITICAL-2, RESPONSE-4, RESPONSE-5, ASSET-2, ARCHITECTURE-5</t>
  </si>
  <si>
    <t>RESPONSE-1, RESPONSE-2, RESPONSE-3, RESPONSE-5</t>
  </si>
  <si>
    <t>ASSET-4, ACCESS-3, SITUATION-1, RESPONSE-4</t>
  </si>
  <si>
    <t>CRITICAL-1, ACCESS-3, ARCHITECTURE-3</t>
  </si>
  <si>
    <t>CRITICAL-2, THREAT-2, RISK-2, RISK-3, RISK-4, ACCESS-2, RESPONSE-3</t>
  </si>
  <si>
    <t>CRITICAL-3, RESPONSE-3, RESPONSE-4, RESPONSE-5, THIRD-PARTIES-1, THIRD-PARTIES-2, Yleisiä hallintatoimia</t>
  </si>
  <si>
    <t>(EU) 2022/2555
NIS2 Article</t>
  </si>
  <si>
    <t>3.1.1 Development security - extended instructions</t>
  </si>
  <si>
    <t>3.7 Security of supplied services</t>
  </si>
  <si>
    <t>(EU) 2024/2690
ANNEX to the Commission Implementing Regulation</t>
  </si>
  <si>
    <t>11.3 Privileged accounts and system administration accounts
11.4 Administration systems</t>
  </si>
  <si>
    <t>8.1 Awareness raising and basic cyber hygiene practices</t>
  </si>
  <si>
    <t>11.1.1 Awareness raising program - extended instruction</t>
  </si>
  <si>
    <t>Art. 21(2.g)</t>
  </si>
  <si>
    <t>6.9 Protection against malicious and unauthorised software
12.3 Removable media policy</t>
  </si>
  <si>
    <t>12.2 Handling of information and assets
12.3 Removable media policy</t>
  </si>
  <si>
    <t>[empty]</t>
  </si>
  <si>
    <t>CRITICAL-2, RISK-1, RISK-2, RISK-3, RISK-4, RISK-5, THIRD-PARTIES-2, ARCHITECTURE-1, PROGRAM-1, PROGRAM-2</t>
  </si>
  <si>
    <t>4.1, 4.2, 6.2</t>
  </si>
  <si>
    <t>6.1.3, 8.1, 8.2, 8.3, 9.3</t>
  </si>
  <si>
    <t>6.1.3, 6.2, 9.1, 9.2, 9.3, 10.1</t>
  </si>
  <si>
    <t>4.1, 4.2, 5.2, 5.3</t>
  </si>
  <si>
    <t>5.2, 7.3, 7.4</t>
  </si>
  <si>
    <t>8.25, 8.28, 8.31</t>
  </si>
  <si>
    <t>8.9, 8.20, 8.21</t>
  </si>
  <si>
    <t>6.2, 6.3, 8.1</t>
  </si>
  <si>
    <t>7.13, 8.19, 8.32</t>
  </si>
  <si>
    <t>5.32, 8.7, 8.19</t>
  </si>
  <si>
    <t>5.19, 5.20, 5.21, 5.37, 7.9, 8.30</t>
  </si>
  <si>
    <t>5.9, 5.10, 5.14, 5.37, 5.34, 7.10</t>
  </si>
  <si>
    <t>5.9, 5.12, 5.13, 5.34</t>
  </si>
  <si>
    <t>5.9, 5.11, 5.18, 5.24, 5.34, 7.9, 8.10</t>
  </si>
  <si>
    <t>5.3, 7.1, 7.2, 7.4</t>
  </si>
  <si>
    <t>5.2, 5.3, 5.5, 6.2, 6.3, 6.4, 6.5</t>
  </si>
  <si>
    <t>6.5, 8.10</t>
  </si>
  <si>
    <t>7.2, 7.3</t>
  </si>
  <si>
    <t>5.3, 5.15, 5.16, 5.17, 5.18, 5.37, 8.3, 8.5</t>
  </si>
  <si>
    <t>5.15, 5.18, 8.3</t>
  </si>
  <si>
    <t>5.31, 5.37, 8.24</t>
  </si>
  <si>
    <t>ID.RA-01, ID.RA-02, ID.RA-03, ID.RA-04, ID.RA-05, ID.RA-06, GV.RM-03, GV.RM-01, GV.RM-02, GV.RM-03, GV.PO-01, GV.PO-02</t>
  </si>
  <si>
    <t>GV.RM-02, GV.RM-03, GV.RM-06</t>
  </si>
  <si>
    <t>ID.RA-01, GV.OC-02, GV.OC-03</t>
  </si>
  <si>
    <t>ID.RA-02, ID.RA-03, ID.RA-04, ID.RA-05, ID.RA-06, DE.AE-04, DE.AE-07</t>
  </si>
  <si>
    <t>GV.OC-01, GV.OC-03, GV.PO-01, GV.PO-02, GV.SC-02</t>
  </si>
  <si>
    <t>ID.RA-07, PR.PS-01, PR.PS-03</t>
  </si>
  <si>
    <t>GV.SC-03, GV.SC-04, GV.SC-05, GV.SC-07</t>
  </si>
  <si>
    <t>GV.OC-05, GV.SC-01, GV.SC-03, GV.SC-05, GV.SC-07, GV.SC-09</t>
  </si>
  <si>
    <t>PR.PS-04, PR.AA-03, DE.CM-03</t>
  </si>
  <si>
    <t>PR.AT-01, DE.AE-07, RS.CO-02</t>
  </si>
  <si>
    <t>DE.AE-06, DE.CM, RS.MA-02, RS.AN-07</t>
  </si>
  <si>
    <t>DE.AE-03, DE.AE-04, DE.AE-07, DE.AE-08, RS.MA-03, RS.MA-04, RS.MA-05, RS.AN-08</t>
  </si>
  <si>
    <t>DE.AE-02, ID.IM-03, RS.AN-03</t>
  </si>
  <si>
    <t>GV.RR-02, GV.OC-03, DE.AE-08, RS.AN-07, RS.AN-08, RC.CO-03</t>
  </si>
  <si>
    <t xml:space="preserve">PR.DS-11, PR.IR-03, RC.RP-03 </t>
  </si>
  <si>
    <t>PR.DS-11, RC.RP-01, RC.RP-05, ID.IM-03</t>
  </si>
  <si>
    <t>RC.CO-03</t>
  </si>
  <si>
    <t>GV.OC-01, GV.OC-05, GV.SC-03, PR.IR-03, PR.IR-04</t>
  </si>
  <si>
    <t>ISO/IEC 27005:2022</t>
  </si>
  <si>
    <t>5.1, 5.2, 6.3, 6.5, 7, 8, 9, 10.4</t>
  </si>
  <si>
    <t>6.4, 8.1</t>
  </si>
  <si>
    <t>6.1, 6.2, 6.4, 7.2, 10.1</t>
  </si>
  <si>
    <t>7.2, 7.3, 9.1</t>
  </si>
  <si>
    <t>8</t>
  </si>
  <si>
    <t>8.3, 8.6, 9.2, 10.1, 10.5 10.6, 10.8</t>
  </si>
  <si>
    <t>NIST SP 800-30 rev 1</t>
  </si>
  <si>
    <t>2.1, 2.2, 2.4, 3.1, 3.2, 3.3</t>
  </si>
  <si>
    <t>2.3, 3.1, 3.2</t>
  </si>
  <si>
    <t>3.2, D, E, G</t>
  </si>
  <si>
    <t>3.4, H</t>
  </si>
  <si>
    <t>F</t>
  </si>
  <si>
    <t>10.6</t>
  </si>
  <si>
    <t>NIST SP 800-37 rev 2</t>
  </si>
  <si>
    <t>2.1, 2.2, 3.1, E</t>
  </si>
  <si>
    <t>2.3, 2.5, 3.2</t>
  </si>
  <si>
    <t>3.3, 3.4, 3.5, 3.6</t>
  </si>
  <si>
    <t>3.6, 3.7</t>
  </si>
  <si>
    <t>2.8</t>
  </si>
  <si>
    <t>ISO 28000:2022</t>
  </si>
  <si>
    <t>4.1, 4.2, 5.2, 6.1, 6.2, 7.5, 8</t>
  </si>
  <si>
    <t>NIST SP 800-161 rev 1</t>
  </si>
  <si>
    <t>2.2, 2.3.4, 3.2, 3.4.2, A, B</t>
  </si>
  <si>
    <t>ISO/IEC 27035-1:2023</t>
  </si>
  <si>
    <t>ISO/IEC 27035-2:2023</t>
  </si>
  <si>
    <t>4.1, 4.2, 4.3, 4.4, 4.5, 4.6, 4.7.1, 5.1, 5.2</t>
  </si>
  <si>
    <t>4.3, 6.2, 6.4, 6.7, 7</t>
  </si>
  <si>
    <t>4.7.2, 5.2</t>
  </si>
  <si>
    <t>4.7.3, 5.3</t>
  </si>
  <si>
    <t>6.5, 6.6</t>
  </si>
  <si>
    <t>4.7.4</t>
  </si>
  <si>
    <t>4.7.5, 9.6</t>
  </si>
  <si>
    <t>4.6</t>
  </si>
  <si>
    <t>4.2, 6.3, 6.8, 8.9</t>
  </si>
  <si>
    <t>5.5</t>
  </si>
  <si>
    <t>9, 10, 11, 12</t>
  </si>
  <si>
    <t>NIST SP 800-61 rev 2</t>
  </si>
  <si>
    <t>2.1, 2.2, 2.3, 2.4, 2.5, 3.1</t>
  </si>
  <si>
    <t>3.1.1</t>
  </si>
  <si>
    <t>3.2, 3.2.1, 3.2.2, 3.2.3, 3.2.5</t>
  </si>
  <si>
    <t>3.2, 3.2.4, 3.2.6, 3.2.7</t>
  </si>
  <si>
    <t>3.3, 3.3.1, 3.3.2, 3.3.3, 3.3.4</t>
  </si>
  <si>
    <t>3.4.2, 4.1, 4.2, 4.3</t>
  </si>
  <si>
    <t>3.3.4, 3.4, 3.5</t>
  </si>
  <si>
    <t>IEC 62443-2-1:2010</t>
  </si>
  <si>
    <t>IEC 62443-2-4:2015</t>
  </si>
  <si>
    <t>ISO/IEC 27001:2022</t>
  </si>
  <si>
    <t>6.1.1, 6.1.3, 6.2, 9.1, 9.2, 9.3, 10.1</t>
  </si>
  <si>
    <t>6.1.1, 6.2, 9.1, 9.2</t>
  </si>
  <si>
    <t>GV.OC-01, GV.PO-01</t>
  </si>
  <si>
    <t>(koko standardi)</t>
  </si>
  <si>
    <t>PR.AA-03, PR.AA-05, PR.IR-01, PR.PS-03, ID.IM-01, ID.IM-02</t>
  </si>
  <si>
    <t>7.2, 8.6, 10.5</t>
  </si>
  <si>
    <t>5.15, 5.18, 5.37, 8.2, 8.18</t>
  </si>
  <si>
    <t>ID.IM-02, ID.IM-03, ID.IM-04, GV.OC-04, GV.SC-08, RC.RP-01, RC.RP-02, RC.RP-04, RC.RP-05, RC.RP-06</t>
  </si>
  <si>
    <t>GV.SC-08, RS.MA-01, PR.AT-01, ID.IM-03</t>
  </si>
  <si>
    <t>IEC 62443-2-1:2024</t>
  </si>
  <si>
    <t>IEC 62443-2-4:2024</t>
  </si>
  <si>
    <t>ORG 1.1, ORG 2.1, ORG 2.4</t>
  </si>
  <si>
    <t>ORG 2.1</t>
  </si>
  <si>
    <t>ORG 1.1, ORG 2.1</t>
  </si>
  <si>
    <t>NET 1.1, ORG 1.1</t>
  </si>
  <si>
    <t>ORG 1.1, ORG 2.4, AVAIL 1.2, CM 1.4</t>
  </si>
  <si>
    <t>USER 1.4, ORG 1.1, ORG 1.6</t>
  </si>
  <si>
    <t>CM 1.1, CM 1.3, DATA 1.1, DATA 1.2</t>
  </si>
  <si>
    <t>CM 1.1, CM 1.3, ORG 1.1, ORG 1.4, USER 1.4, EVENT 1.8, DATA 1.1, DATA 1.2</t>
  </si>
  <si>
    <t>USER 1.4, DATA 1.1, DATA 1.2</t>
  </si>
  <si>
    <t>ORG 1.3, ORG 1.4, ORG 1.5</t>
  </si>
  <si>
    <t>USER 1.4, USER 1.5</t>
  </si>
  <si>
    <t>ORG 1.1, DATA 1.5, DATA 1.6</t>
  </si>
  <si>
    <t>DATA 1.5, DATA 1.6</t>
  </si>
  <si>
    <t>EVENT 1.7</t>
  </si>
  <si>
    <t>EVENT 1.7, EVENT 1.8, ORG 1.1</t>
  </si>
  <si>
    <t>EVENT 1.8, ORG 1.1</t>
  </si>
  <si>
    <t xml:space="preserve">EVENT 1.2, EVENT 1.8, AVAIL 1.1 </t>
  </si>
  <si>
    <t>EVENT 1.4, EVENT 1.8, AVAIL 1.1</t>
  </si>
  <si>
    <t>PR.IP-9, PR.IP-10, ID.BE-5, ID.SC-5, RC.RP-1, RC.IM-1, RC.IM-2</t>
  </si>
  <si>
    <t>ORG 1.1, EVENT 1.8, AVAIL 1.1</t>
  </si>
  <si>
    <t>AVAIL 1.2, AVAIL 2.3</t>
  </si>
  <si>
    <t>DATA 1.1, DATA 1.2, DATA 1.5, DATA 1.6, DATA 1.7, AVAIL 1.2, AVAIL 2.3</t>
  </si>
  <si>
    <t>ORG 1.1, AVAIL 1.1, AVAIL 1.2</t>
  </si>
  <si>
    <t>ORG 1.4, ORG 1.5</t>
  </si>
  <si>
    <t>ORG 1.4</t>
  </si>
  <si>
    <t>CM 1.1, CM 1.3</t>
  </si>
  <si>
    <t>NET 1.1</t>
  </si>
  <si>
    <t>COMP 2.1, COMP 2.2, COMP 2.3, CM 1.4</t>
  </si>
  <si>
    <t>USER 1.4, USER 1.5, USER 1.11, DATA 1.1</t>
  </si>
  <si>
    <t xml:space="preserve">DATA 1.1, DATA 1.2, DATA 1.5, DATA 1.6, DATA 1.7, NET 1.1, ORG 1.1, ORG 3.1, USER 1.11, </t>
  </si>
  <si>
    <t>COMP 3.1, COMP 3.2, COMP 3.3, COMP 3.4, COMP 3.5, EVENT 1.9, ORG 2.4, CM  1.4</t>
  </si>
  <si>
    <t>ORG 2.3, CM 1.4</t>
  </si>
  <si>
    <t>AVAIL 1.1, AVAIL 2.1, AVAIL 2.3, DATA 1.4, EVENT 1.8</t>
  </si>
  <si>
    <t>ORG 1.3, EVENT 1.8</t>
  </si>
  <si>
    <t>EVENT 1.4, DATA 1.1, DATA 1.2</t>
  </si>
  <si>
    <t>AVAIL 1.2, ORG 1.6</t>
  </si>
  <si>
    <t>ORG 3.1, AVAIL 1.2</t>
  </si>
  <si>
    <t>ORG 3.1, AVAIL 1.1, AVAIL 1.2, EVENT 1.1</t>
  </si>
  <si>
    <t>ORG 1.1, ORG 2.4</t>
  </si>
  <si>
    <t>SP.01.05, SP.01.06, SP.01.07, SP.03.01</t>
  </si>
  <si>
    <t>SP.02.01, SP.03.01, 
SP.03.02, SP.03.05, SP.03.09, SP.07.04, SP.08.02, SP.08.04, SP.09.09. SP.10.02, SP.11.02, SP.11.06</t>
  </si>
  <si>
    <t>SP.01.04</t>
  </si>
  <si>
    <t>SP.11.01, SP.11.02, SP.11.06</t>
  </si>
  <si>
    <t>SP.02.01</t>
  </si>
  <si>
    <t>SP.10.01, SP.10.02, SP.10.03, SP.10.05</t>
  </si>
  <si>
    <t>SP.06.02</t>
  </si>
  <si>
    <t>SP.06.01, SP.06.02</t>
  </si>
  <si>
    <t>SP.03.08 RE(2), SP.06.01, SP.06.02</t>
  </si>
  <si>
    <t>SP.01.03</t>
  </si>
  <si>
    <t>SP.03.04, SP.08.01, SP.08.02, SP.08.03</t>
  </si>
  <si>
    <t>SP.09.01, SP.09.02, SP.09.03, SP.09.04</t>
  </si>
  <si>
    <t>SP.03.08, SP.09.04</t>
  </si>
  <si>
    <t>SP.08.02, SP.09.04</t>
  </si>
  <si>
    <t>SP.08.02, SP.08.03, SP.09.04</t>
  </si>
  <si>
    <t>SP.09.05, SP.09.06, SP.09.07, SP.09.08, SP.09.09</t>
  </si>
  <si>
    <t>SP.03.10 RE(2), SP.03.10 RE(3)</t>
  </si>
  <si>
    <t>SP.08.01, SP.08.02, SP.08.03</t>
  </si>
  <si>
    <t>SP.03.03, SP.08.01</t>
  </si>
  <si>
    <t>SP.08.01</t>
  </si>
  <si>
    <t>SP.08.01, SP.08.03</t>
  </si>
  <si>
    <t>SP.12.01, SP.12.02, SP.12.03</t>
  </si>
  <si>
    <t>SP.12.09</t>
  </si>
  <si>
    <t>SP.12.01, SP.12.02, SP.12.03, SP.12.04, SP.12.05, SP.12.06, SP.12.07</t>
  </si>
  <si>
    <t>SP.08.04, SP.12.09</t>
  </si>
  <si>
    <t>SP.01.01</t>
  </si>
  <si>
    <t>SP.03.02</t>
  </si>
  <si>
    <t>SP.10.01, SP.10.03</t>
  </si>
  <si>
    <t>SP.09.01</t>
  </si>
  <si>
    <t>SP.09.04</t>
  </si>
  <si>
    <t>SP.03.10</t>
  </si>
  <si>
    <t>SP.11.01, SP.11.02, SP.11.03, SP.11.04, SP.11.05</t>
  </si>
  <si>
    <t>SP.03.05</t>
  </si>
  <si>
    <t>SP.12.01, SP.12.02</t>
  </si>
  <si>
    <t>SP.01.05, SP.01.06, SP.12.09</t>
  </si>
  <si>
    <t>SP.08.02, SP.08.03</t>
  </si>
  <si>
    <t>SP.08.04</t>
  </si>
  <si>
    <t xml:space="preserve">RESPONSE-3, RESPONSE-4, THREAT-2, ASSET-1, ASSET-2, CRITICAL-1, CRITICAL-2, CRITICAL-3, ARCHITECTURE-1, ARCHITECTURE-5, </t>
  </si>
  <si>
    <t>WORKFORCE-1, WORKFORCE-2, WORKFORCE-3, THIRD-PARTIES-1, THIRD-PARTIES-2,  Management activities</t>
  </si>
  <si>
    <t>ACCESS-1, ACCESS-2, ARCHITECTURE-1, ARCHITECTURE-2</t>
  </si>
  <si>
    <t>CRITICAL-3, RESPONSE-1, RESPONSE-2, RESPONSE-3, RESPONSE-4, RESPONSE-5</t>
  </si>
  <si>
    <t>Rivinumero</t>
  </si>
  <si>
    <r>
      <t xml:space="preserve">Liikenne- ja viestintävirasto Traficomin suositus NIS-valvoville viranomaisille kyberturvallisuuden riskienhallinnan toimenpiteistä 
</t>
    </r>
    <r>
      <rPr>
        <b/>
        <sz val="11"/>
        <color theme="1"/>
        <rFont val="Calibri"/>
        <family val="2"/>
        <scheme val="minor"/>
      </rPr>
      <t>Liite:</t>
    </r>
    <r>
      <rPr>
        <sz val="11"/>
        <color theme="1"/>
        <rFont val="Calibri"/>
        <family val="2"/>
        <scheme val="minor"/>
      </rPr>
      <t xml:space="preserve"> Ristiinviittaustaulukko, esimerkkejä laajasti tunnetuista standardeista, viitekehyksistä ja ohjeistuksista, jotka liittyvät kyseiseen suositukseen.</t>
    </r>
  </si>
  <si>
    <t>SP.03.01</t>
  </si>
  <si>
    <t>ORG 1.1, ORG 2.3, ORG 2.4,  AVAIL 1.2, CM 1.4</t>
  </si>
  <si>
    <t>ORG 2.3</t>
  </si>
  <si>
    <t>EVENT 1.9, ORG 2.4</t>
  </si>
  <si>
    <t>ORG 1.1, ORG 1.3,  ORG 1.6, ORG 2.4</t>
  </si>
  <si>
    <t>Implementing Guidance On Commission Implementing Regulation (EU) 2024/2690</t>
  </si>
  <si>
    <t>ORG 1.1, ORG 1.3, ORG 1.6, ORG 2.4</t>
  </si>
  <si>
    <t>ORG 1.1, ORG 1.4, ORG 1.5, ORG 1.6,</t>
  </si>
  <si>
    <t>NET 1.1, NET 1.2, COMP 1.1, CM 1.1, CM 1.3, CM 1.4, ORG 2.3</t>
  </si>
  <si>
    <t>ORG 1.6, ORG 2.3</t>
  </si>
  <si>
    <t>NET 1.1, ORG 1.1, CM 1.1, CM 1.2, CM 1.3, CM 1.4, COMP 1.1</t>
  </si>
  <si>
    <t>SP.03.02, SP.03.05, SP.03.08, SP.03.09, SP.06.03, SP.07.04, SP.08.02, SP.09.02 RE(4), SP.09.03, SP.09.04, SP.09.07, SP.09.09. SP.10.02</t>
  </si>
  <si>
    <t>NET 1.1, ORG 1.1, CM 1.1, CM 1.2, CM 1.3, CM 1.4</t>
  </si>
  <si>
    <t>ORG 2.3, ORG 2.4, CM 1.4, DATA 1.1, EVENT 1.4</t>
  </si>
  <si>
    <t>SP.02.01, SP.02.02, SP.03.02, SP.03.05, SP.03.09, SP.03.10, SP.06.03, SP.07.04, SP.08.02, SP.08.03, SP.09.09,  SP.10.02, SP.11.02, SP.11.06</t>
  </si>
  <si>
    <t>SP.03.01, SP.03.03, SP.08.01</t>
  </si>
  <si>
    <t>NET 1.1, NET 1.3, NET 1.5, NET 1.6, NET 2.2, NET 3.2, NET 3.3, USER 1.16</t>
  </si>
  <si>
    <t>SP.03.02, SP.03.03, SP.03.07, SP.05.05, SP.07.03, SP.07.04</t>
  </si>
  <si>
    <t>ORG 1.1, ORG 2.2, COMP 2.1, COMP 2.2, COMP 2.3, CM 1.4, NET 1.8</t>
  </si>
  <si>
    <t>ORG 1.6, CM 1.1</t>
  </si>
  <si>
    <t>CM 1.1, CM 1.3, DATA 1.1, DATA 1.2, DATA 1.4, ORG 1.1,  COMP 1.2</t>
  </si>
  <si>
    <t>ORG 1.1, ORG 1.2, ORG 1.3, ORG 1.4, ORG 1.5, ORG 1.6, ORG 2.1, ORG 2.2</t>
  </si>
  <si>
    <t>SP.01.01, SP.01.02, SP.01.03, SP.01.04, SP.01.05, SP.01.06, SP.01.07</t>
  </si>
  <si>
    <t>ORG 1.2, ORG 1.3, USER 1.1, USER 1.2, USER 1.4</t>
  </si>
  <si>
    <t>SP.01.07, SP.09.02, SP.09.03, SP.09.04</t>
  </si>
  <si>
    <t>ORG 1.2, ORG 1.6</t>
  </si>
  <si>
    <t>ORG 1.1, ORG 1.3, ORG 1.4, ORG 2.4</t>
  </si>
  <si>
    <t xml:space="preserve">ORG 1.1, ORG 2.2, USER 1.1, USER 1.2, USER 1.4, USER 1.5, USER 1.6, USER 1.7, USER 1.8, USER 1.9, DATA 1.1 </t>
  </si>
  <si>
    <t>USER 1.4, USER 1.5, USER 1.15, USER 2.1, EVENT 1.4, DATA 1.1</t>
  </si>
  <si>
    <t>DATA 1.1, EVENT 1.4, EVENT 1.7, USER 1.14, USER 1.15</t>
  </si>
  <si>
    <t>USER 1.4, USER 1.5, USER 2.3, USER 2.4, ORG 1.1</t>
  </si>
  <si>
    <t>USER 1.8, USER 1.9, USER 1.11, USER 1.12, USER 2.3</t>
  </si>
  <si>
    <t>EVENT 1.1, EVENT 1.8</t>
  </si>
  <si>
    <r>
      <t>EVENT 1.2, EVENT 1.3,</t>
    </r>
    <r>
      <rPr>
        <sz val="12"/>
        <rFont val="Calibri"/>
        <family val="2"/>
        <scheme val="minor"/>
      </rPr>
      <t xml:space="preserve"> </t>
    </r>
    <r>
      <rPr>
        <sz val="11"/>
        <rFont val="Calibri"/>
        <family val="2"/>
        <scheme val="minor"/>
      </rPr>
      <t>EVENT 1.8, EVENT 1.9, ORG 1.1</t>
    </r>
  </si>
  <si>
    <t>EVENT 1.4, EVENT 1.5, EVENT 1.8, DATA 1.1, NET 1.9</t>
  </si>
  <si>
    <t>EVENT 1.4, EVENT 1.5, EVENT 1.7, EVENT 1.8, ORG 1.1</t>
  </si>
  <si>
    <t>ORG 1.1, ORG 2.1, ORG 2.4, Annex B</t>
  </si>
  <si>
    <t>ORG 1.1, ORG 2.1, Annex B</t>
  </si>
  <si>
    <t>1) kyberturvallisuutta koskevan riskienhallinnan toimintaperiaatteet ja kyberturvallisuuden riskienhallintatoimenpiteiden vaikuttavuuden arviointi;</t>
  </si>
  <si>
    <t>2) viestintäverkkojen ja tietojärjestelmien turvallisuutta koskevat toimintaperiaatteet;</t>
  </si>
  <si>
    <t>3) viestintäverkkojen ja tietojärjestelmien hankinnan, kehittämisen ja ylläpidon turvallisuus
sekä tarvittavat menettelyt haavoittuvuuksien käsittelemiseksi ja julkistamiseksi;</t>
  </si>
  <si>
    <t>4) toimitusketjun välittömien toimittajien tuotteiden ja palveluntarjoajien palvelujen yleinen laatu ja häiriönsietokyky, niihin sisällytetyt kyberturvallisuutta koskevat riskienhallintatoimenpiteet ja välittömien toimittajien ja palveluntarjoajien kyberturvallisuuskäytännöt sekä NIS2 -direktiivin 22 artiklan 1 kohdassa tarkoitetut kriittisiä toimitusketjuja koskevien koordinoitujen riskinarviointien tulokset;</t>
  </si>
  <si>
    <t>7) pääsynhallinnan ja todentamisen menettelyt;</t>
  </si>
  <si>
    <t>9) poikkeamien havainnointi ja käsittely turvallisuuden ja toimintavarmuuden ylläpitämiseksi ja palauttamiseksi;</t>
  </si>
  <si>
    <t>10) varmuuskopiointi, palautumissuunnittelu, kriisinhallinta ja muu toiminnan jatkuvuuden hallinta sekä tarvittaessa suojattujen varaviestintäjärjestelmien käyttö;</t>
  </si>
  <si>
    <t>12) toimenpiteet viestintäverkkojen ja tietojärjestelmien fyysisen ympäristön suojaamiseksi sekä tilaturvallisuuden ja välttämättömien resurssien varmistamiseksi.</t>
  </si>
  <si>
    <t>RT 103206</t>
  </si>
  <si>
    <t>RT 103207</t>
  </si>
  <si>
    <t>RT 103208</t>
  </si>
  <si>
    <t>ST 70.40</t>
  </si>
  <si>
    <t>ST 70.41</t>
  </si>
  <si>
    <t>ST 95.12</t>
  </si>
  <si>
    <t>IEC 62443-3-3:2013</t>
  </si>
  <si>
    <t>SR 3.9</t>
  </si>
  <si>
    <t>SR 3.4, 3.5</t>
  </si>
  <si>
    <t>SR 7.6</t>
  </si>
  <si>
    <t>SR 3.4</t>
  </si>
  <si>
    <t>SR 3.5, 3.6, 3.7</t>
  </si>
  <si>
    <t>SR 1.11, 1.12, 1.13, 2.5, 2.6, 2.7, 3.1, 3.8, 5.1, 5.2, 5.4, 7.7</t>
  </si>
  <si>
    <t>SR 3.2, 3.3</t>
  </si>
  <si>
    <t>SR 2.4</t>
  </si>
  <si>
    <t>SR 7.8</t>
  </si>
  <si>
    <t>SR 1.11, SR 1.12, SR 1.13, SR 2.8, SR 2.9, SR 2.10, SR 2.11, SR 2.12, SR 6.1, SR 6.2</t>
  </si>
  <si>
    <t>SR 4.1 RE 1</t>
  </si>
  <si>
    <t>SR 1.13, SR 3.1, SR 5.2, SR 7.7</t>
  </si>
  <si>
    <t>SR 5.1</t>
  </si>
  <si>
    <t>SR 3.2</t>
  </si>
  <si>
    <t>SR 1.1, SR 1.7</t>
  </si>
  <si>
    <t>SR 4.1, SR 4.3</t>
  </si>
  <si>
    <t>SR 7.6, SR 7.7</t>
  </si>
  <si>
    <t>SR 7.3</t>
  </si>
  <si>
    <t>12.2 Handling of assets
12.3 Removable media policy</t>
  </si>
  <si>
    <t>12.2 Handling of assets</t>
  </si>
  <si>
    <t>REF</t>
  </si>
  <si>
    <t>English</t>
  </si>
  <si>
    <t>Suomi</t>
  </si>
  <si>
    <t>Svenska</t>
  </si>
  <si>
    <t>TITLE</t>
  </si>
  <si>
    <t>DISCLAIMER</t>
  </si>
  <si>
    <t>SOURCES</t>
  </si>
  <si>
    <t>HISTORY</t>
  </si>
  <si>
    <t>Valitse kieli / Välj språk / Choose language:</t>
  </si>
  <si>
    <t>When drafting the Recommendation and its accompanying cross-reference table, the NCSC-FI has considered in parallel the national Cybersecurity Act and Act on Information Management in Public Administration, the NIS2 Directive (2022/2555), Implementing Regulation (EU) 2024/2690 and its accompanying documents that have been prepared in cooperation between Member States, the Commission and ENISA, as well as a number of information security criteria and assessment tools, such as ISO/IEC 27001, IEC 62443, NIST CSF, Assessment criteria for information security in public administration (Julkri) and Cybermeter. These, together with the NCSC-FI's experience in various information security tasks, have been used to define common cybersecurity practices applicable to the cybersecurity risk management measures set out in the Act and their monitoring.
The assessment criteria and standards used in the Recommendation and its cross-reference table are indicative and have not been harmonised as such with the requirements of the Cybersecurity Act or the Information Management Act. For example, a section of a standard may contain requirements not included in the Act, and as such the two are not directly comparable. 
You may freely use, share and modify the cross-reference table, as long as you credit the original source. Please be mindful about the external references of the cross-reference table and any rights of their right holders.
The NCSC-FI offers the cross-reference table as it is available on the NCSC-FI website. The user of the cross-reference table is responsible for any actions they might perform based on information derived from the cross-reference table, including any services they might provide for a third party. The NCSC-FI will continue to improve the cross-reference table and may modify the table in the future. Information about any changes will be published on our website.</t>
  </si>
  <si>
    <t>Kyberturvallisuuskeskus on suositusta ja sen liitteenä olevaa ristiinviittaustaulukkoa laatiessaan tarkastellut rinnakkain kansallista kyberturvallisuuslakia ja lakia julkisen hallinnon tiedonhallinnasta, NIS2-direktiiviä (2022/2555) sekä täytäntöönpanoasetusta (EU) 2024/2690 ja sen liitännäisasiakirjoja, jotka on valmisteltu jäsenvaltioiden, komission ja ENISAn yhteistyönä sekä lukuisia tietoturvallisuuden kriteeristöjä ja arviointityökaluja, kuten ISO/IEC 27001, IEC 62443, NIST CSF, Julkri ja Kybermittari. Näiden ja viraston eri tietoturvallisuustehtävissä kertyneen kokemuksen avulla on pyritty määrittämään kyberturvallisuuden kannalta yleiset käytännöt, jotka soveltuvat laissa esitettyihin kyberturvallisuuden riskienhallinnan toimenpiteisiin ja niiden valvomiseen.
Suosituksessa ja sen ristiinviittaustaulukossa käytetyt arviointikriteeristöt ja standardit ovat ohjeellisia eikä niitä sellaisinaan ole harmonisoitu kyberturvallisuuslain tai tiedonhallintalain vaatimusten kanssa. Standardin kohta voi esimerkiksi sisältää lakiin sisältymättömiä vaatimuksia, joten ne eivät ole keskenään suoraan rinnastettavissa. 
Voit vapaasti ottaa käyttöön, jakaa ja muunnella ristiinviittaustaulukkoa, kun nimeät alkuperäisen lähteen. Huomioithan Kyberturvallisuuskeskuksen ulkopuoliset ristiinviittaustaulukon sisältämät tietolähteet ja niiden oikeuksienhaltijoiden mahdolliset oikeudet käyttäessäsi dokumenttia. 
Kyberturvallisuuskeskus tarjoaa ristiinviittaustaulukon sellaisena, kuin se Kyberturvallisuuskeskuksen verkkosivuilla on tarjolla. Ristiinviittaustaulukon käyttöönottaja vastaa taulukon pohjalta tekemistään toimenpiteistä, mukaan lukien palvelut, joita se tarjoaa kolmannelle osapuolelle. Kyberturvallisuuskeskus jatkaa ristiinviittaustaulukon kehitystä ja sitä tullaan muokkaamaan tulevaisuudessa. Muutoksista ilmoitetaan verkkosivuillamme.</t>
  </si>
  <si>
    <t>Cybersäkerhetscentret har vid utfärdandet av rekommendationen och korsreferenstabellen som finns som bilaga till rekommendationen betraktat parallellt den nationella cybersäkerhetslagen och lag om informationshantering inom den offentliga förvaltningen, NIS2-direktivet (2022/2555) samt genomförandeförordningen (EU) 2024/2690 och till den relaterade handlingar som har beretts i samarbete med medlemsländerna, kommissionen och ENISA, samt flera kriterier och bedömningsverktyg för informationssäkerheten, t.ex.  ISO/IEC 27001, IEC 62443, NIST CSF, Julkri och Cybermätaren. Med hjälp av dessa och den erfarenhet som ämbetsverket fått i olika informationssäkerhetsuppgifter har man försökt ange de för cybersäkerheten allmänna praxis som kan tillämpas på åtgärderna för hantering av cybersäkerhetsrisker i enlighet med lagen och på att ha tillsyn över dem.
De bedömningskriterier och standarder som används i rekommendationen och i korsreferenstabellen är riktgivande och de har inte harmoniserats som sådana med kraven i cybersäkerhetslagen eller i informationshanteringslagen. En punkt i standarden kan till exempel omfatta krav som inte ingår i lagen och därför kan inte jämföras direkt med varandra. 
Du kan fritt börja använda, dela och ändra korsreferenstabellen då du anger den ursprungliga källan. Vänligen beakta informationskällor i korsreferenstabellen som kommer utifrån Cybersäkerhetscentret samt eventuella rättigheter för deras rättsinnehavare då du använder dokumentet. 
Cybersäkerhetscentret erbjuder korsreferenstabellen sådan som den finns tillgänglig på Cybersäkerhetscentrets webbsidor. Den som börjar använda korsreferenstabellen svarar för de åtgärder som den vidtagit på basis av tabellen, inklusive tjänster som den erbjuder en tredje part. Cybersäkerhetscentret fortsätter att utveckla korsreferenstabellen och tabellen kommer att ändras i framtiden. Vi informerar om ändringar på våra webbsidor.</t>
  </si>
  <si>
    <r>
      <rPr>
        <b/>
        <sz val="11"/>
        <color theme="1"/>
        <rFont val="Calibri"/>
        <family val="2"/>
        <scheme val="minor"/>
      </rPr>
      <t xml:space="preserve">Lähteet:
Euroopan parlamentin ja neuvoston direktiivi (EU) 2022/2555 </t>
    </r>
    <r>
      <rPr>
        <sz val="11"/>
        <color theme="1"/>
        <rFont val="Calibri"/>
        <family val="2"/>
        <scheme val="minor"/>
      </rPr>
      <t>(</t>
    </r>
    <r>
      <rPr>
        <sz val="11"/>
        <color rgb="FF0070C0"/>
        <rFont val="Calibri"/>
        <family val="2"/>
        <scheme val="minor"/>
      </rPr>
      <t>https://eur-lex.europa.eu/legal-content/FI-EN/TXT/?uri=CELEX:32022L2555</t>
    </r>
    <r>
      <rPr>
        <sz val="11"/>
        <color theme="1"/>
        <rFont val="Calibri"/>
        <family val="2"/>
        <scheme val="minor"/>
      </rPr>
      <t xml:space="preserve">)
</t>
    </r>
    <r>
      <rPr>
        <b/>
        <sz val="11"/>
        <color theme="1"/>
        <rFont val="Calibri"/>
        <family val="2"/>
        <scheme val="minor"/>
      </rPr>
      <t xml:space="preserve">Komission täytäntöönpanoasetus (EU) 2024/2690 </t>
    </r>
    <r>
      <rPr>
        <sz val="11"/>
        <color theme="1"/>
        <rFont val="Calibri"/>
        <family val="2"/>
        <scheme val="minor"/>
      </rPr>
      <t>(</t>
    </r>
    <r>
      <rPr>
        <sz val="11"/>
        <color rgb="FF0070C0"/>
        <rFont val="Calibri"/>
        <family val="2"/>
        <scheme val="minor"/>
      </rPr>
      <t>https://eur-lex.europa.eu/legal-content/FI-EN/TXT/?from=EN&amp;uri=CELEX%3A32024R2690</t>
    </r>
    <r>
      <rPr>
        <sz val="11"/>
        <color theme="1"/>
        <rFont val="Calibri"/>
        <family val="2"/>
        <scheme val="minor"/>
      </rPr>
      <t xml:space="preserve">)
</t>
    </r>
    <r>
      <rPr>
        <b/>
        <sz val="11"/>
        <color theme="1"/>
        <rFont val="Calibri"/>
        <family val="2"/>
        <scheme val="minor"/>
      </rPr>
      <t>NIS CG Reference document</t>
    </r>
    <r>
      <rPr>
        <sz val="11"/>
        <color theme="1"/>
        <rFont val="Calibri"/>
        <family val="2"/>
        <scheme val="minor"/>
      </rPr>
      <t xml:space="preserve"> (Ei toistaiseksi julkisesti saatavilla)
</t>
    </r>
    <r>
      <rPr>
        <b/>
        <sz val="11"/>
        <color theme="1"/>
        <rFont val="Calibri"/>
        <family val="2"/>
        <scheme val="minor"/>
      </rPr>
      <t>Implementing Guidance On Commission Implementing Regulation (EU) 2024/2690</t>
    </r>
    <r>
      <rPr>
        <sz val="11"/>
        <color theme="1"/>
        <rFont val="Calibri"/>
        <family val="2"/>
        <scheme val="minor"/>
      </rPr>
      <t xml:space="preserve"> (luonnos) (</t>
    </r>
    <r>
      <rPr>
        <sz val="11"/>
        <color rgb="FF0070C0"/>
        <rFont val="Calibri"/>
        <family val="2"/>
        <scheme val="minor"/>
      </rPr>
      <t>https://www.enisa.europa.eu/sites/default/files/2024-11/Implementation%20guidance%20on%20security%20measures_FOR%20PUBLIC%20CONSULTATION.pdf</t>
    </r>
    <r>
      <rPr>
        <sz val="11"/>
        <color theme="1"/>
        <rFont val="Calibri"/>
        <family val="2"/>
        <scheme val="minor"/>
      </rPr>
      <t xml:space="preserve">)
</t>
    </r>
    <r>
      <rPr>
        <b/>
        <sz val="11"/>
        <color theme="1"/>
        <rFont val="Calibri"/>
        <family val="2"/>
        <scheme val="minor"/>
      </rPr>
      <t>Kyberturvallisuuslaki ja tiedonhallintalain muutokset</t>
    </r>
    <r>
      <rPr>
        <sz val="11"/>
        <color theme="1"/>
        <rFont val="Calibri"/>
        <family val="2"/>
        <scheme val="minor"/>
      </rPr>
      <t xml:space="preserve"> (luonnos HE 57/2024) (</t>
    </r>
    <r>
      <rPr>
        <sz val="11"/>
        <color rgb="FF0070C0"/>
        <rFont val="Calibri"/>
        <family val="2"/>
        <scheme val="minor"/>
      </rPr>
      <t>https://www.finlex.fi/fi/esitykset/he/2024/20240057</t>
    </r>
    <r>
      <rPr>
        <sz val="11"/>
        <color theme="1"/>
        <rFont val="Calibri"/>
        <family val="2"/>
        <scheme val="minor"/>
      </rPr>
      <t xml:space="preserve">)
</t>
    </r>
    <r>
      <rPr>
        <b/>
        <sz val="11"/>
        <color theme="1"/>
        <rFont val="Calibri"/>
        <family val="2"/>
        <scheme val="minor"/>
      </rPr>
      <t>Kybermittari</t>
    </r>
    <r>
      <rPr>
        <sz val="11"/>
        <color theme="1"/>
        <rFont val="Calibri"/>
        <family val="2"/>
        <scheme val="minor"/>
      </rPr>
      <t xml:space="preserve"> (</t>
    </r>
    <r>
      <rPr>
        <sz val="11"/>
        <color rgb="FF0070C0"/>
        <rFont val="Calibri"/>
        <family val="2"/>
        <scheme val="minor"/>
      </rPr>
      <t>https://www.kybermittari.fi/</t>
    </r>
    <r>
      <rPr>
        <sz val="11"/>
        <color theme="1"/>
        <rFont val="Calibri"/>
        <family val="2"/>
        <scheme val="minor"/>
      </rPr>
      <t xml:space="preserve">)
</t>
    </r>
    <r>
      <rPr>
        <b/>
        <sz val="11"/>
        <color theme="1"/>
        <rFont val="Calibri"/>
        <family val="2"/>
        <scheme val="minor"/>
      </rPr>
      <t>ISO/IEC 27001:2022</t>
    </r>
    <r>
      <rPr>
        <sz val="11"/>
        <color theme="1"/>
        <rFont val="Calibri"/>
        <family val="2"/>
        <scheme val="minor"/>
      </rPr>
      <t xml:space="preserve"> (</t>
    </r>
    <r>
      <rPr>
        <sz val="11"/>
        <color rgb="FF0070C0"/>
        <rFont val="Calibri"/>
        <family val="2"/>
        <scheme val="minor"/>
      </rPr>
      <t>https://www.iso.org/standard/27001</t>
    </r>
    <r>
      <rPr>
        <sz val="11"/>
        <color theme="1"/>
        <rFont val="Calibri"/>
        <family val="2"/>
        <scheme val="minor"/>
      </rPr>
      <t>)</t>
    </r>
    <r>
      <rPr>
        <b/>
        <sz val="11"/>
        <color theme="1"/>
        <rFont val="Calibri"/>
        <family val="2"/>
        <scheme val="minor"/>
      </rPr>
      <t xml:space="preserve">
ISO/IEC 27002:2022</t>
    </r>
    <r>
      <rPr>
        <sz val="11"/>
        <color theme="1"/>
        <rFont val="Calibri"/>
        <family val="2"/>
        <scheme val="minor"/>
      </rPr>
      <t xml:space="preserve"> (</t>
    </r>
    <r>
      <rPr>
        <sz val="11"/>
        <color rgb="FF0070C0"/>
        <rFont val="Calibri"/>
        <family val="2"/>
        <scheme val="minor"/>
      </rPr>
      <t>https://www.iso.org/standard/75652.html</t>
    </r>
    <r>
      <rPr>
        <sz val="11"/>
        <color theme="1"/>
        <rFont val="Calibri"/>
        <family val="2"/>
        <scheme val="minor"/>
      </rPr>
      <t>)</t>
    </r>
    <r>
      <rPr>
        <b/>
        <sz val="11"/>
        <color theme="1"/>
        <rFont val="Calibri"/>
        <family val="2"/>
        <scheme val="minor"/>
      </rPr>
      <t xml:space="preserve">
ISO/IEC 27005:2022</t>
    </r>
    <r>
      <rPr>
        <sz val="11"/>
        <color theme="1"/>
        <rFont val="Calibri"/>
        <family val="2"/>
        <scheme val="minor"/>
      </rPr>
      <t xml:space="preserve"> (</t>
    </r>
    <r>
      <rPr>
        <sz val="11"/>
        <color rgb="FF0070C0"/>
        <rFont val="Calibri"/>
        <family val="2"/>
        <scheme val="minor"/>
      </rPr>
      <t>https://www.iso.org/standard/80585.html</t>
    </r>
    <r>
      <rPr>
        <sz val="11"/>
        <color theme="1"/>
        <rFont val="Calibri"/>
        <family val="2"/>
        <scheme val="minor"/>
      </rPr>
      <t>)</t>
    </r>
    <r>
      <rPr>
        <b/>
        <sz val="11"/>
        <color theme="1"/>
        <rFont val="Calibri"/>
        <family val="2"/>
        <scheme val="minor"/>
      </rPr>
      <t xml:space="preserve">
ISO/IEC 27035-1:2023</t>
    </r>
    <r>
      <rPr>
        <sz val="11"/>
        <color theme="1"/>
        <rFont val="Calibri"/>
        <family val="2"/>
        <scheme val="minor"/>
      </rPr>
      <t xml:space="preserve"> (</t>
    </r>
    <r>
      <rPr>
        <sz val="11"/>
        <color rgb="FF0070C0"/>
        <rFont val="Calibri"/>
        <family val="2"/>
        <scheme val="minor"/>
      </rPr>
      <t>https://www.iso.org/standard/78973.html</t>
    </r>
    <r>
      <rPr>
        <sz val="11"/>
        <color theme="1"/>
        <rFont val="Calibri"/>
        <family val="2"/>
        <scheme val="minor"/>
      </rPr>
      <t>)</t>
    </r>
    <r>
      <rPr>
        <b/>
        <sz val="11"/>
        <color theme="1"/>
        <rFont val="Calibri"/>
        <family val="2"/>
        <scheme val="minor"/>
      </rPr>
      <t xml:space="preserve">
ISO/IEC 27035-2:2023</t>
    </r>
    <r>
      <rPr>
        <sz val="11"/>
        <color theme="1"/>
        <rFont val="Calibri"/>
        <family val="2"/>
        <scheme val="minor"/>
      </rPr>
      <t xml:space="preserve"> (</t>
    </r>
    <r>
      <rPr>
        <sz val="11"/>
        <color rgb="FF0070C0"/>
        <rFont val="Calibri"/>
        <family val="2"/>
        <scheme val="minor"/>
      </rPr>
      <t>https://www.iso.org/standard/78974.html</t>
    </r>
    <r>
      <rPr>
        <sz val="11"/>
        <color theme="1"/>
        <rFont val="Calibri"/>
        <family val="2"/>
        <scheme val="minor"/>
      </rPr>
      <t>)</t>
    </r>
    <r>
      <rPr>
        <b/>
        <sz val="11"/>
        <color theme="1"/>
        <rFont val="Calibri"/>
        <family val="2"/>
        <scheme val="minor"/>
      </rPr>
      <t xml:space="preserve">
ISO 28000:2022</t>
    </r>
    <r>
      <rPr>
        <sz val="11"/>
        <color theme="1"/>
        <rFont val="Calibri"/>
        <family val="2"/>
        <scheme val="minor"/>
      </rPr>
      <t xml:space="preserve"> (</t>
    </r>
    <r>
      <rPr>
        <sz val="11"/>
        <color rgb="FF0070C0"/>
        <rFont val="Calibri"/>
        <family val="2"/>
        <scheme val="minor"/>
      </rPr>
      <t>https://www.iso.org/standard/79612.html</t>
    </r>
    <r>
      <rPr>
        <sz val="11"/>
        <color theme="1"/>
        <rFont val="Calibri"/>
        <family val="2"/>
        <scheme val="minor"/>
      </rPr>
      <t>)</t>
    </r>
    <r>
      <rPr>
        <b/>
        <sz val="11"/>
        <color theme="1"/>
        <rFont val="Calibri"/>
        <family val="2"/>
        <scheme val="minor"/>
      </rPr>
      <t xml:space="preserve">
IEC 62443-2-1:2010</t>
    </r>
    <r>
      <rPr>
        <sz val="11"/>
        <color theme="1"/>
        <rFont val="Calibri"/>
        <family val="2"/>
        <scheme val="minor"/>
      </rPr>
      <t xml:space="preserve"> (</t>
    </r>
    <r>
      <rPr>
        <sz val="11"/>
        <color rgb="FF0070C0"/>
        <rFont val="Calibri"/>
        <family val="2"/>
        <scheme val="minor"/>
      </rPr>
      <t>https://webstore.iec.ch/en/publication/7030</t>
    </r>
    <r>
      <rPr>
        <sz val="11"/>
        <color theme="1"/>
        <rFont val="Calibri"/>
        <family val="2"/>
        <scheme val="minor"/>
      </rPr>
      <t>)</t>
    </r>
    <r>
      <rPr>
        <b/>
        <sz val="11"/>
        <color theme="1"/>
        <rFont val="Calibri"/>
        <family val="2"/>
        <scheme val="minor"/>
      </rPr>
      <t xml:space="preserve">
IEC 62443-2-1:2024</t>
    </r>
    <r>
      <rPr>
        <sz val="11"/>
        <color theme="1"/>
        <rFont val="Calibri"/>
        <family val="2"/>
        <scheme val="minor"/>
      </rPr>
      <t xml:space="preserve"> (</t>
    </r>
    <r>
      <rPr>
        <sz val="11"/>
        <color rgb="FF0070C0"/>
        <rFont val="Calibri"/>
        <family val="2"/>
        <scheme val="minor"/>
      </rPr>
      <t>https://webstore.iec.ch/en/publication/62883</t>
    </r>
    <r>
      <rPr>
        <sz val="11"/>
        <color theme="1"/>
        <rFont val="Calibri"/>
        <family val="2"/>
        <scheme val="minor"/>
      </rPr>
      <t>)</t>
    </r>
    <r>
      <rPr>
        <b/>
        <sz val="11"/>
        <color theme="1"/>
        <rFont val="Calibri"/>
        <family val="2"/>
        <scheme val="minor"/>
      </rPr>
      <t xml:space="preserve">
IEC 62443-2-4:2015</t>
    </r>
    <r>
      <rPr>
        <sz val="11"/>
        <color theme="1"/>
        <rFont val="Calibri"/>
        <family val="2"/>
        <scheme val="minor"/>
      </rPr>
      <t xml:space="preserve"> (</t>
    </r>
    <r>
      <rPr>
        <sz val="11"/>
        <color rgb="FF0070C0"/>
        <rFont val="Calibri"/>
        <family val="2"/>
        <scheme val="minor"/>
      </rPr>
      <t>https://webstore.iec.ch/en/publication/22810</t>
    </r>
    <r>
      <rPr>
        <sz val="11"/>
        <color theme="1"/>
        <rFont val="Calibri"/>
        <family val="2"/>
        <scheme val="minor"/>
      </rPr>
      <t>)</t>
    </r>
    <r>
      <rPr>
        <b/>
        <sz val="11"/>
        <color theme="1"/>
        <rFont val="Calibri"/>
        <family val="2"/>
        <scheme val="minor"/>
      </rPr>
      <t xml:space="preserve">
IEC 62443-2-4:2023</t>
    </r>
    <r>
      <rPr>
        <sz val="11"/>
        <color theme="1"/>
        <rFont val="Calibri"/>
        <family val="2"/>
        <scheme val="minor"/>
      </rPr>
      <t xml:space="preserve"> (</t>
    </r>
    <r>
      <rPr>
        <sz val="11"/>
        <color rgb="FF0070C0"/>
        <rFont val="Calibri"/>
        <family val="2"/>
        <scheme val="minor"/>
      </rPr>
      <t>https://webstore.iec.ch/en/publication/67631</t>
    </r>
    <r>
      <rPr>
        <sz val="11"/>
        <color theme="1"/>
        <rFont val="Calibri"/>
        <family val="2"/>
        <scheme val="minor"/>
      </rPr>
      <t xml:space="preserve">)
</t>
    </r>
    <r>
      <rPr>
        <b/>
        <sz val="11"/>
        <color theme="1"/>
        <rFont val="Calibri"/>
        <family val="2"/>
        <scheme val="minor"/>
      </rPr>
      <t xml:space="preserve">IEC 62443-3-3:2013 </t>
    </r>
    <r>
      <rPr>
        <sz val="11"/>
        <color theme="1"/>
        <rFont val="Calibri"/>
        <family val="2"/>
        <scheme val="minor"/>
      </rPr>
      <t>(</t>
    </r>
    <r>
      <rPr>
        <sz val="11"/>
        <color rgb="FF0070C0"/>
        <rFont val="Calibri"/>
        <family val="2"/>
        <scheme val="minor"/>
      </rPr>
      <t>https://webstore.iec.ch/en/publication/7033</t>
    </r>
    <r>
      <rPr>
        <sz val="11"/>
        <color theme="1"/>
        <rFont val="Calibri"/>
        <family val="2"/>
        <scheme val="minor"/>
      </rPr>
      <t>)</t>
    </r>
    <r>
      <rPr>
        <b/>
        <sz val="11"/>
        <color theme="1"/>
        <rFont val="Calibri"/>
        <family val="2"/>
        <scheme val="minor"/>
      </rPr>
      <t xml:space="preserve">
NIST CSF 1.1</t>
    </r>
    <r>
      <rPr>
        <sz val="11"/>
        <color theme="1"/>
        <rFont val="Calibri"/>
        <family val="2"/>
        <scheme val="minor"/>
      </rPr>
      <t xml:space="preserve"> (</t>
    </r>
    <r>
      <rPr>
        <sz val="11"/>
        <color rgb="FF0070C0"/>
        <rFont val="Calibri"/>
        <family val="2"/>
        <scheme val="minor"/>
      </rPr>
      <t>https://www.nist.gov/cyberframework/csf-11-archive</t>
    </r>
    <r>
      <rPr>
        <sz val="11"/>
        <color theme="1"/>
        <rFont val="Calibri"/>
        <family val="2"/>
        <scheme val="minor"/>
      </rPr>
      <t>)</t>
    </r>
    <r>
      <rPr>
        <b/>
        <sz val="11"/>
        <color theme="1"/>
        <rFont val="Calibri"/>
        <family val="2"/>
        <scheme val="minor"/>
      </rPr>
      <t xml:space="preserve">
NIST CSF 2.0</t>
    </r>
    <r>
      <rPr>
        <sz val="11"/>
        <color theme="1"/>
        <rFont val="Calibri"/>
        <family val="2"/>
        <scheme val="minor"/>
      </rPr>
      <t xml:space="preserve"> (</t>
    </r>
    <r>
      <rPr>
        <sz val="11"/>
        <color rgb="FF0070C0"/>
        <rFont val="Calibri"/>
        <family val="2"/>
        <scheme val="minor"/>
      </rPr>
      <t>https://nvlpubs.nist.gov/nistpubs/CSWP/NIST.CSWP.29.pdf</t>
    </r>
    <r>
      <rPr>
        <sz val="11"/>
        <color theme="1"/>
        <rFont val="Calibri"/>
        <family val="2"/>
        <scheme val="minor"/>
      </rPr>
      <t>)</t>
    </r>
    <r>
      <rPr>
        <b/>
        <sz val="11"/>
        <color theme="1"/>
        <rFont val="Calibri"/>
        <family val="2"/>
        <scheme val="minor"/>
      </rPr>
      <t xml:space="preserve">
NIST SP 800-30 rev 1</t>
    </r>
    <r>
      <rPr>
        <sz val="11"/>
        <color theme="1"/>
        <rFont val="Calibri"/>
        <family val="2"/>
        <scheme val="minor"/>
      </rPr>
      <t xml:space="preserve"> (</t>
    </r>
    <r>
      <rPr>
        <sz val="11"/>
        <color rgb="FF0070C0"/>
        <rFont val="Calibri"/>
        <family val="2"/>
        <scheme val="minor"/>
      </rPr>
      <t>https://csrc.nist.gov/pubs/sp/800/30/r1/final</t>
    </r>
    <r>
      <rPr>
        <sz val="11"/>
        <color theme="1"/>
        <rFont val="Calibri"/>
        <family val="2"/>
        <scheme val="minor"/>
      </rPr>
      <t>)</t>
    </r>
    <r>
      <rPr>
        <b/>
        <sz val="11"/>
        <color theme="1"/>
        <rFont val="Calibri"/>
        <family val="2"/>
        <scheme val="minor"/>
      </rPr>
      <t xml:space="preserve">
NIST SP 800-37 rev 2</t>
    </r>
    <r>
      <rPr>
        <sz val="11"/>
        <color theme="1"/>
        <rFont val="Calibri"/>
        <family val="2"/>
        <scheme val="minor"/>
      </rPr>
      <t xml:space="preserve"> (</t>
    </r>
    <r>
      <rPr>
        <sz val="11"/>
        <color rgb="FF0070C0"/>
        <rFont val="Calibri"/>
        <family val="2"/>
        <scheme val="minor"/>
      </rPr>
      <t>https://csrc.nist.gov/pubs/sp/800/37/r2/final</t>
    </r>
    <r>
      <rPr>
        <sz val="11"/>
        <color theme="1"/>
        <rFont val="Calibri"/>
        <family val="2"/>
        <scheme val="minor"/>
      </rPr>
      <t>)</t>
    </r>
    <r>
      <rPr>
        <b/>
        <sz val="11"/>
        <color theme="1"/>
        <rFont val="Calibri"/>
        <family val="2"/>
        <scheme val="minor"/>
      </rPr>
      <t xml:space="preserve">
NIST SP 800-61 rev 2</t>
    </r>
    <r>
      <rPr>
        <sz val="11"/>
        <color theme="1"/>
        <rFont val="Calibri"/>
        <family val="2"/>
        <scheme val="minor"/>
      </rPr>
      <t xml:space="preserve"> (</t>
    </r>
    <r>
      <rPr>
        <sz val="11"/>
        <color rgb="FF0070C0"/>
        <rFont val="Calibri"/>
        <family val="2"/>
        <scheme val="minor"/>
      </rPr>
      <t>https://csrc.nist.gov/pubs/sp/800/61/r2/final</t>
    </r>
    <r>
      <rPr>
        <sz val="11"/>
        <color theme="1"/>
        <rFont val="Calibri"/>
        <family val="2"/>
        <scheme val="minor"/>
      </rPr>
      <t>)</t>
    </r>
    <r>
      <rPr>
        <b/>
        <sz val="11"/>
        <color theme="1"/>
        <rFont val="Calibri"/>
        <family val="2"/>
        <scheme val="minor"/>
      </rPr>
      <t xml:space="preserve">
NIST SP 800-161 rev 1</t>
    </r>
    <r>
      <rPr>
        <sz val="11"/>
        <color theme="1"/>
        <rFont val="Calibri"/>
        <family val="2"/>
        <scheme val="minor"/>
      </rPr>
      <t xml:space="preserve"> (</t>
    </r>
    <r>
      <rPr>
        <sz val="11"/>
        <color rgb="FF0070C0"/>
        <rFont val="Calibri"/>
        <family val="2"/>
        <scheme val="minor"/>
      </rPr>
      <t>https://csrc.nist.gov/pubs/sp/800/161/r1/upd1/final</t>
    </r>
    <r>
      <rPr>
        <sz val="11"/>
        <color theme="1"/>
        <rFont val="Calibri"/>
        <family val="2"/>
        <scheme val="minor"/>
      </rPr>
      <t xml:space="preserve">)
</t>
    </r>
    <r>
      <rPr>
        <b/>
        <sz val="11"/>
        <color theme="1"/>
        <rFont val="Calibri"/>
        <family val="2"/>
        <scheme val="minor"/>
      </rPr>
      <t>Rakennusten digitaalinen turvallisuus RT 103206</t>
    </r>
    <r>
      <rPr>
        <sz val="11"/>
        <color theme="1"/>
        <rFont val="Calibri"/>
        <family val="2"/>
        <scheme val="minor"/>
      </rPr>
      <t xml:space="preserve"> (</t>
    </r>
    <r>
      <rPr>
        <sz val="11"/>
        <color rgb="FF0070C0"/>
        <rFont val="Calibri"/>
        <family val="2"/>
        <scheme val="minor"/>
      </rPr>
      <t>https://kortistot.rakennustieto.fi/kortit/RT%20103206</t>
    </r>
    <r>
      <rPr>
        <sz val="11"/>
        <color theme="1"/>
        <rFont val="Calibri"/>
        <family val="2"/>
        <scheme val="minor"/>
      </rPr>
      <t xml:space="preserve">)
</t>
    </r>
    <r>
      <rPr>
        <b/>
        <sz val="11"/>
        <color theme="1"/>
        <rFont val="Calibri"/>
        <family val="2"/>
        <scheme val="minor"/>
      </rPr>
      <t>Rakennusten digitaalinen turvallisuus RT 103207</t>
    </r>
    <r>
      <rPr>
        <sz val="11"/>
        <color theme="1"/>
        <rFont val="Calibri"/>
        <family val="2"/>
        <scheme val="minor"/>
      </rPr>
      <t xml:space="preserve"> (</t>
    </r>
    <r>
      <rPr>
        <sz val="11"/>
        <color rgb="FF0070C0"/>
        <rFont val="Calibri"/>
        <family val="2"/>
        <scheme val="minor"/>
      </rPr>
      <t>https://kortistot.rakennustieto.fi/kortit/RT%20103207</t>
    </r>
    <r>
      <rPr>
        <sz val="11"/>
        <color theme="1"/>
        <rFont val="Calibri"/>
        <family val="2"/>
        <scheme val="minor"/>
      </rPr>
      <t xml:space="preserve">)
</t>
    </r>
    <r>
      <rPr>
        <b/>
        <sz val="11"/>
        <color theme="1"/>
        <rFont val="Calibri"/>
        <family val="2"/>
        <scheme val="minor"/>
      </rPr>
      <t>Rakennusten digitaalinen turvallisuus RT 103208</t>
    </r>
    <r>
      <rPr>
        <sz val="11"/>
        <color theme="1"/>
        <rFont val="Calibri"/>
        <family val="2"/>
        <scheme val="minor"/>
      </rPr>
      <t xml:space="preserve"> (</t>
    </r>
    <r>
      <rPr>
        <sz val="11"/>
        <color rgb="FF0070C0"/>
        <rFont val="Calibri"/>
        <family val="2"/>
        <scheme val="minor"/>
      </rPr>
      <t>https://kortistot.rakennustieto.fi/kortit/RT%20103208</t>
    </r>
    <r>
      <rPr>
        <sz val="11"/>
        <color theme="1"/>
        <rFont val="Calibri"/>
        <family val="2"/>
        <scheme val="minor"/>
      </rPr>
      <t>)</t>
    </r>
  </si>
  <si>
    <t>Liite: Ristiinviittaustaulukko</t>
  </si>
  <si>
    <t>TITLE_EXPLANATION</t>
  </si>
  <si>
    <t>Annex: Cross-reference table</t>
  </si>
  <si>
    <t>Bilaga: Korsreferenstabel</t>
  </si>
  <si>
    <t>Transport- och kommunikationsverket Traficoms rekommendation till NIS-övervakande myndigheter om åtgärder för riskhantering 
Bilaga: Korsreferenstabel med exampel på välkända standarder, ramverk och riktlinjer med ankytning till denna rekommendation</t>
  </si>
  <si>
    <r>
      <t xml:space="preserve">Finnish Transport and Communications Agency Traficom recommendation on cybersecurity risk management measures for NIS supervisory authorities 
</t>
    </r>
    <r>
      <rPr>
        <b/>
        <sz val="11"/>
        <color theme="1"/>
        <rFont val="Calibri"/>
        <family val="2"/>
        <scheme val="minor"/>
      </rPr>
      <t>Annex:</t>
    </r>
    <r>
      <rPr>
        <sz val="11"/>
        <color theme="1"/>
        <rFont val="Calibri"/>
        <family val="2"/>
        <scheme val="minor"/>
      </rPr>
      <t xml:space="preserve"> Cross-reference table with examples of well known standards, frameworks and guidelines related to this Recommendation. </t>
    </r>
  </si>
  <si>
    <r>
      <rPr>
        <b/>
        <sz val="11"/>
        <color theme="1"/>
        <rFont val="Calibri"/>
        <family val="2"/>
        <scheme val="minor"/>
      </rPr>
      <t xml:space="preserve">Sources:
Directive (EU) 2022/2555 of the European Parliament and of the Council </t>
    </r>
    <r>
      <rPr>
        <sz val="11"/>
        <color theme="1"/>
        <rFont val="Calibri"/>
        <family val="2"/>
        <scheme val="minor"/>
      </rPr>
      <t>(</t>
    </r>
    <r>
      <rPr>
        <sz val="11"/>
        <color rgb="FF0070C0"/>
        <rFont val="Calibri"/>
        <family val="2"/>
        <scheme val="minor"/>
      </rPr>
      <t>https://eur-lex.europa.eu/legal-content/EN/TXT/?uri=CELEX:32022L2555</t>
    </r>
    <r>
      <rPr>
        <sz val="11"/>
        <color theme="1"/>
        <rFont val="Calibri"/>
        <family val="2"/>
        <scheme val="minor"/>
      </rPr>
      <t xml:space="preserve">)
</t>
    </r>
    <r>
      <rPr>
        <b/>
        <sz val="11"/>
        <color theme="1"/>
        <rFont val="Calibri"/>
        <family val="2"/>
        <scheme val="minor"/>
      </rPr>
      <t xml:space="preserve">Commission Implementing Regulation (EU) 2024/2690 </t>
    </r>
    <r>
      <rPr>
        <sz val="11"/>
        <color theme="1"/>
        <rFont val="Calibri"/>
        <family val="2"/>
        <scheme val="minor"/>
      </rPr>
      <t>(</t>
    </r>
    <r>
      <rPr>
        <sz val="11"/>
        <color rgb="FF0070C0"/>
        <rFont val="Calibri"/>
        <family val="2"/>
        <scheme val="minor"/>
      </rPr>
      <t>https://eur-lex.europa.eu/legal-content/EN/TXT/?uri=CELEX:32024R2690</t>
    </r>
    <r>
      <rPr>
        <sz val="11"/>
        <color theme="1"/>
        <rFont val="Calibri"/>
        <family val="2"/>
        <scheme val="minor"/>
      </rPr>
      <t xml:space="preserve">)
</t>
    </r>
    <r>
      <rPr>
        <b/>
        <sz val="11"/>
        <color theme="1"/>
        <rFont val="Calibri"/>
        <family val="2"/>
        <scheme val="minor"/>
      </rPr>
      <t>NIS CG Reference document</t>
    </r>
    <r>
      <rPr>
        <sz val="11"/>
        <color theme="1"/>
        <rFont val="Calibri"/>
        <family val="2"/>
        <scheme val="minor"/>
      </rPr>
      <t xml:space="preserve"> (Not yet publicly available)
</t>
    </r>
    <r>
      <rPr>
        <b/>
        <sz val="11"/>
        <color theme="1"/>
        <rFont val="Calibri"/>
        <family val="2"/>
        <scheme val="minor"/>
      </rPr>
      <t>Implementing Guidance On Commission Implementing Regulation (EU) 2024/2690</t>
    </r>
    <r>
      <rPr>
        <sz val="11"/>
        <color theme="1"/>
        <rFont val="Calibri"/>
        <family val="2"/>
        <scheme val="minor"/>
      </rPr>
      <t xml:space="preserve"> (draft) (</t>
    </r>
    <r>
      <rPr>
        <sz val="11"/>
        <color rgb="FF0070C0"/>
        <rFont val="Calibri"/>
        <family val="2"/>
        <scheme val="minor"/>
      </rPr>
      <t>https://www.enisa.europa.eu/sites/default/files/2024-11/Implementation%20guidance%20on%20security%20measures_FOR%20PUBLIC%20CONSULTATION.pdf</t>
    </r>
    <r>
      <rPr>
        <sz val="11"/>
        <color theme="1"/>
        <rFont val="Calibri"/>
        <family val="2"/>
        <scheme val="minor"/>
      </rPr>
      <t xml:space="preserve">)
</t>
    </r>
    <r>
      <rPr>
        <b/>
        <sz val="11"/>
        <color theme="1"/>
        <rFont val="Calibri"/>
        <family val="2"/>
        <scheme val="minor"/>
      </rPr>
      <t>Act on Cybersecurity Risk Management and amendments to Act on Information Management in Public Administration</t>
    </r>
    <r>
      <rPr>
        <sz val="11"/>
        <color theme="1"/>
        <rFont val="Calibri"/>
        <family val="2"/>
        <scheme val="minor"/>
      </rPr>
      <t xml:space="preserve"> (draft HE 57/2024) (</t>
    </r>
    <r>
      <rPr>
        <sz val="11"/>
        <color rgb="FF0070C0"/>
        <rFont val="Calibri"/>
        <family val="2"/>
        <scheme val="minor"/>
      </rPr>
      <t>https://www.finlex.fi/fi/esitykset/he/2024/20240057</t>
    </r>
    <r>
      <rPr>
        <sz val="11"/>
        <color theme="1"/>
        <rFont val="Calibri"/>
        <family val="2"/>
        <scheme val="minor"/>
      </rPr>
      <t xml:space="preserve">)
</t>
    </r>
    <r>
      <rPr>
        <b/>
        <sz val="11"/>
        <color theme="1"/>
        <rFont val="Calibri"/>
        <family val="2"/>
        <scheme val="minor"/>
      </rPr>
      <t>Cybermeter</t>
    </r>
    <r>
      <rPr>
        <sz val="11"/>
        <color theme="1"/>
        <rFont val="Calibri"/>
        <family val="2"/>
        <scheme val="minor"/>
      </rPr>
      <t xml:space="preserve"> (</t>
    </r>
    <r>
      <rPr>
        <sz val="11"/>
        <color rgb="FF0070C0"/>
        <rFont val="Calibri"/>
        <family val="2"/>
        <scheme val="minor"/>
      </rPr>
      <t>https://www.kybermittari.fi/</t>
    </r>
    <r>
      <rPr>
        <sz val="11"/>
        <color theme="1"/>
        <rFont val="Calibri"/>
        <family val="2"/>
        <scheme val="minor"/>
      </rPr>
      <t xml:space="preserve">)
</t>
    </r>
    <r>
      <rPr>
        <b/>
        <sz val="11"/>
        <color theme="1"/>
        <rFont val="Calibri"/>
        <family val="2"/>
        <scheme val="minor"/>
      </rPr>
      <t>ISO/IEC 27001:2022</t>
    </r>
    <r>
      <rPr>
        <sz val="11"/>
        <color theme="1"/>
        <rFont val="Calibri"/>
        <family val="2"/>
        <scheme val="minor"/>
      </rPr>
      <t xml:space="preserve"> (</t>
    </r>
    <r>
      <rPr>
        <sz val="11"/>
        <color rgb="FF0070C0"/>
        <rFont val="Calibri"/>
        <family val="2"/>
        <scheme val="minor"/>
      </rPr>
      <t>https://www.iso.org/standard/27001</t>
    </r>
    <r>
      <rPr>
        <sz val="11"/>
        <color theme="1"/>
        <rFont val="Calibri"/>
        <family val="2"/>
        <scheme val="minor"/>
      </rPr>
      <t>)</t>
    </r>
    <r>
      <rPr>
        <b/>
        <sz val="11"/>
        <color theme="1"/>
        <rFont val="Calibri"/>
        <family val="2"/>
        <scheme val="minor"/>
      </rPr>
      <t xml:space="preserve">
ISO/IEC 27002:2022</t>
    </r>
    <r>
      <rPr>
        <sz val="11"/>
        <color theme="1"/>
        <rFont val="Calibri"/>
        <family val="2"/>
        <scheme val="minor"/>
      </rPr>
      <t xml:space="preserve"> (</t>
    </r>
    <r>
      <rPr>
        <sz val="11"/>
        <color rgb="FF0070C0"/>
        <rFont val="Calibri"/>
        <family val="2"/>
        <scheme val="minor"/>
      </rPr>
      <t>https://www.iso.org/standard/75652.html</t>
    </r>
    <r>
      <rPr>
        <sz val="11"/>
        <color theme="1"/>
        <rFont val="Calibri"/>
        <family val="2"/>
        <scheme val="minor"/>
      </rPr>
      <t>)</t>
    </r>
    <r>
      <rPr>
        <b/>
        <sz val="11"/>
        <color theme="1"/>
        <rFont val="Calibri"/>
        <family val="2"/>
        <scheme val="minor"/>
      </rPr>
      <t xml:space="preserve">
ISO/IEC 27005:2022</t>
    </r>
    <r>
      <rPr>
        <sz val="11"/>
        <color theme="1"/>
        <rFont val="Calibri"/>
        <family val="2"/>
        <scheme val="minor"/>
      </rPr>
      <t xml:space="preserve"> (</t>
    </r>
    <r>
      <rPr>
        <sz val="11"/>
        <color rgb="FF0070C0"/>
        <rFont val="Calibri"/>
        <family val="2"/>
        <scheme val="minor"/>
      </rPr>
      <t>https://www.iso.org/standard/80585.html</t>
    </r>
    <r>
      <rPr>
        <sz val="11"/>
        <color theme="1"/>
        <rFont val="Calibri"/>
        <family val="2"/>
        <scheme val="minor"/>
      </rPr>
      <t>)</t>
    </r>
    <r>
      <rPr>
        <b/>
        <sz val="11"/>
        <color theme="1"/>
        <rFont val="Calibri"/>
        <family val="2"/>
        <scheme val="minor"/>
      </rPr>
      <t xml:space="preserve">
ISO/IEC 27035-1:2023</t>
    </r>
    <r>
      <rPr>
        <sz val="11"/>
        <color theme="1"/>
        <rFont val="Calibri"/>
        <family val="2"/>
        <scheme val="minor"/>
      </rPr>
      <t xml:space="preserve"> (</t>
    </r>
    <r>
      <rPr>
        <sz val="11"/>
        <color rgb="FF0070C0"/>
        <rFont val="Calibri"/>
        <family val="2"/>
        <scheme val="minor"/>
      </rPr>
      <t>https://www.iso.org/standard/78973.html</t>
    </r>
    <r>
      <rPr>
        <sz val="11"/>
        <color theme="1"/>
        <rFont val="Calibri"/>
        <family val="2"/>
        <scheme val="minor"/>
      </rPr>
      <t>)</t>
    </r>
    <r>
      <rPr>
        <b/>
        <sz val="11"/>
        <color theme="1"/>
        <rFont val="Calibri"/>
        <family val="2"/>
        <scheme val="minor"/>
      </rPr>
      <t xml:space="preserve">
ISO/IEC 27035-2:2023</t>
    </r>
    <r>
      <rPr>
        <sz val="11"/>
        <color theme="1"/>
        <rFont val="Calibri"/>
        <family val="2"/>
        <scheme val="minor"/>
      </rPr>
      <t xml:space="preserve"> (</t>
    </r>
    <r>
      <rPr>
        <sz val="11"/>
        <color rgb="FF0070C0"/>
        <rFont val="Calibri"/>
        <family val="2"/>
        <scheme val="minor"/>
      </rPr>
      <t>https://www.iso.org/standard/78974.html</t>
    </r>
    <r>
      <rPr>
        <sz val="11"/>
        <color theme="1"/>
        <rFont val="Calibri"/>
        <family val="2"/>
        <scheme val="minor"/>
      </rPr>
      <t>)</t>
    </r>
    <r>
      <rPr>
        <b/>
        <sz val="11"/>
        <color theme="1"/>
        <rFont val="Calibri"/>
        <family val="2"/>
        <scheme val="minor"/>
      </rPr>
      <t xml:space="preserve">
ISO 28000:2022</t>
    </r>
    <r>
      <rPr>
        <sz val="11"/>
        <color theme="1"/>
        <rFont val="Calibri"/>
        <family val="2"/>
        <scheme val="minor"/>
      </rPr>
      <t xml:space="preserve"> (</t>
    </r>
    <r>
      <rPr>
        <sz val="11"/>
        <color rgb="FF0070C0"/>
        <rFont val="Calibri"/>
        <family val="2"/>
        <scheme val="minor"/>
      </rPr>
      <t>https://www.iso.org/standard/79612.html</t>
    </r>
    <r>
      <rPr>
        <sz val="11"/>
        <color theme="1"/>
        <rFont val="Calibri"/>
        <family val="2"/>
        <scheme val="minor"/>
      </rPr>
      <t>)</t>
    </r>
    <r>
      <rPr>
        <b/>
        <sz val="11"/>
        <color theme="1"/>
        <rFont val="Calibri"/>
        <family val="2"/>
        <scheme val="minor"/>
      </rPr>
      <t xml:space="preserve">
IEC 62443-2-1:2010</t>
    </r>
    <r>
      <rPr>
        <sz val="11"/>
        <color theme="1"/>
        <rFont val="Calibri"/>
        <family val="2"/>
        <scheme val="minor"/>
      </rPr>
      <t xml:space="preserve"> (</t>
    </r>
    <r>
      <rPr>
        <sz val="11"/>
        <color rgb="FF0070C0"/>
        <rFont val="Calibri"/>
        <family val="2"/>
        <scheme val="minor"/>
      </rPr>
      <t>https://webstore.iec.ch/en/publication/7030</t>
    </r>
    <r>
      <rPr>
        <sz val="11"/>
        <color theme="1"/>
        <rFont val="Calibri"/>
        <family val="2"/>
        <scheme val="minor"/>
      </rPr>
      <t>)</t>
    </r>
    <r>
      <rPr>
        <b/>
        <sz val="11"/>
        <color theme="1"/>
        <rFont val="Calibri"/>
        <family val="2"/>
        <scheme val="minor"/>
      </rPr>
      <t xml:space="preserve">
IEC 62443-2-1:2024</t>
    </r>
    <r>
      <rPr>
        <sz val="11"/>
        <color theme="1"/>
        <rFont val="Calibri"/>
        <family val="2"/>
        <scheme val="minor"/>
      </rPr>
      <t xml:space="preserve"> (</t>
    </r>
    <r>
      <rPr>
        <sz val="11"/>
        <color rgb="FF0070C0"/>
        <rFont val="Calibri"/>
        <family val="2"/>
        <scheme val="minor"/>
      </rPr>
      <t>https://webstore.iec.ch/en/publication/62883</t>
    </r>
    <r>
      <rPr>
        <sz val="11"/>
        <color theme="1"/>
        <rFont val="Calibri"/>
        <family val="2"/>
        <scheme val="minor"/>
      </rPr>
      <t>)</t>
    </r>
    <r>
      <rPr>
        <b/>
        <sz val="11"/>
        <color theme="1"/>
        <rFont val="Calibri"/>
        <family val="2"/>
        <scheme val="minor"/>
      </rPr>
      <t xml:space="preserve">
IEC 62443-2-4:2015</t>
    </r>
    <r>
      <rPr>
        <sz val="11"/>
        <color theme="1"/>
        <rFont val="Calibri"/>
        <family val="2"/>
        <scheme val="minor"/>
      </rPr>
      <t xml:space="preserve"> (</t>
    </r>
    <r>
      <rPr>
        <sz val="11"/>
        <color rgb="FF0070C0"/>
        <rFont val="Calibri"/>
        <family val="2"/>
        <scheme val="minor"/>
      </rPr>
      <t>https://webstore.iec.ch/en/publication/22810</t>
    </r>
    <r>
      <rPr>
        <sz val="11"/>
        <color theme="1"/>
        <rFont val="Calibri"/>
        <family val="2"/>
        <scheme val="minor"/>
      </rPr>
      <t>)</t>
    </r>
    <r>
      <rPr>
        <b/>
        <sz val="11"/>
        <color theme="1"/>
        <rFont val="Calibri"/>
        <family val="2"/>
        <scheme val="minor"/>
      </rPr>
      <t xml:space="preserve">
IEC 62443-2-4:2023</t>
    </r>
    <r>
      <rPr>
        <sz val="11"/>
        <color theme="1"/>
        <rFont val="Calibri"/>
        <family val="2"/>
        <scheme val="minor"/>
      </rPr>
      <t xml:space="preserve"> (</t>
    </r>
    <r>
      <rPr>
        <sz val="11"/>
        <color rgb="FF0070C0"/>
        <rFont val="Calibri"/>
        <family val="2"/>
        <scheme val="minor"/>
      </rPr>
      <t>https://webstore.iec.ch/en/publication/67631</t>
    </r>
    <r>
      <rPr>
        <sz val="11"/>
        <color theme="1"/>
        <rFont val="Calibri"/>
        <family val="2"/>
        <scheme val="minor"/>
      </rPr>
      <t xml:space="preserve">)
</t>
    </r>
    <r>
      <rPr>
        <b/>
        <sz val="11"/>
        <color theme="1"/>
        <rFont val="Calibri"/>
        <family val="2"/>
        <scheme val="minor"/>
      </rPr>
      <t xml:space="preserve">IEC 62443-3-3:2013 </t>
    </r>
    <r>
      <rPr>
        <sz val="11"/>
        <color theme="1"/>
        <rFont val="Calibri"/>
        <family val="2"/>
        <scheme val="minor"/>
      </rPr>
      <t>(</t>
    </r>
    <r>
      <rPr>
        <sz val="11"/>
        <color rgb="FF0070C0"/>
        <rFont val="Calibri"/>
        <family val="2"/>
        <scheme val="minor"/>
      </rPr>
      <t>https://webstore.iec.ch/en/publication/7033</t>
    </r>
    <r>
      <rPr>
        <sz val="11"/>
        <color theme="1"/>
        <rFont val="Calibri"/>
        <family val="2"/>
        <scheme val="minor"/>
      </rPr>
      <t>)</t>
    </r>
    <r>
      <rPr>
        <b/>
        <sz val="11"/>
        <color theme="1"/>
        <rFont val="Calibri"/>
        <family val="2"/>
        <scheme val="minor"/>
      </rPr>
      <t xml:space="preserve">
NIST CSF 1.1</t>
    </r>
    <r>
      <rPr>
        <sz val="11"/>
        <color theme="1"/>
        <rFont val="Calibri"/>
        <family val="2"/>
        <scheme val="minor"/>
      </rPr>
      <t xml:space="preserve"> (</t>
    </r>
    <r>
      <rPr>
        <sz val="11"/>
        <color rgb="FF0070C0"/>
        <rFont val="Calibri"/>
        <family val="2"/>
        <scheme val="minor"/>
      </rPr>
      <t>https://www.nist.gov/cyberframework/csf-11-archive</t>
    </r>
    <r>
      <rPr>
        <sz val="11"/>
        <color theme="1"/>
        <rFont val="Calibri"/>
        <family val="2"/>
        <scheme val="minor"/>
      </rPr>
      <t>)</t>
    </r>
    <r>
      <rPr>
        <b/>
        <sz val="11"/>
        <color theme="1"/>
        <rFont val="Calibri"/>
        <family val="2"/>
        <scheme val="minor"/>
      </rPr>
      <t xml:space="preserve">
NIST CSF 2.0</t>
    </r>
    <r>
      <rPr>
        <sz val="11"/>
        <color theme="1"/>
        <rFont val="Calibri"/>
        <family val="2"/>
        <scheme val="minor"/>
      </rPr>
      <t xml:space="preserve"> (</t>
    </r>
    <r>
      <rPr>
        <sz val="11"/>
        <color rgb="FF0070C0"/>
        <rFont val="Calibri"/>
        <family val="2"/>
        <scheme val="minor"/>
      </rPr>
      <t>https://nvlpubs.nist.gov/nistpubs/CSWP/NIST.CSWP.29.pdf</t>
    </r>
    <r>
      <rPr>
        <sz val="11"/>
        <color theme="1"/>
        <rFont val="Calibri"/>
        <family val="2"/>
        <scheme val="minor"/>
      </rPr>
      <t>)</t>
    </r>
    <r>
      <rPr>
        <b/>
        <sz val="11"/>
        <color theme="1"/>
        <rFont val="Calibri"/>
        <family val="2"/>
        <scheme val="minor"/>
      </rPr>
      <t xml:space="preserve">
NIST SP 800-30 rev 1</t>
    </r>
    <r>
      <rPr>
        <sz val="11"/>
        <color theme="1"/>
        <rFont val="Calibri"/>
        <family val="2"/>
        <scheme val="minor"/>
      </rPr>
      <t xml:space="preserve"> (</t>
    </r>
    <r>
      <rPr>
        <sz val="11"/>
        <color rgb="FF0070C0"/>
        <rFont val="Calibri"/>
        <family val="2"/>
        <scheme val="minor"/>
      </rPr>
      <t>https://csrc.nist.gov/pubs/sp/800/30/r1/final</t>
    </r>
    <r>
      <rPr>
        <sz val="11"/>
        <color theme="1"/>
        <rFont val="Calibri"/>
        <family val="2"/>
        <scheme val="minor"/>
      </rPr>
      <t>)</t>
    </r>
    <r>
      <rPr>
        <b/>
        <sz val="11"/>
        <color theme="1"/>
        <rFont val="Calibri"/>
        <family val="2"/>
        <scheme val="minor"/>
      </rPr>
      <t xml:space="preserve">
NIST SP 800-37 rev 2</t>
    </r>
    <r>
      <rPr>
        <sz val="11"/>
        <color theme="1"/>
        <rFont val="Calibri"/>
        <family val="2"/>
        <scheme val="minor"/>
      </rPr>
      <t xml:space="preserve"> (</t>
    </r>
    <r>
      <rPr>
        <sz val="11"/>
        <color rgb="FF0070C0"/>
        <rFont val="Calibri"/>
        <family val="2"/>
        <scheme val="minor"/>
      </rPr>
      <t>https://csrc.nist.gov/pubs/sp/800/37/r2/final</t>
    </r>
    <r>
      <rPr>
        <sz val="11"/>
        <color theme="1"/>
        <rFont val="Calibri"/>
        <family val="2"/>
        <scheme val="minor"/>
      </rPr>
      <t>)</t>
    </r>
    <r>
      <rPr>
        <b/>
        <sz val="11"/>
        <color theme="1"/>
        <rFont val="Calibri"/>
        <family val="2"/>
        <scheme val="minor"/>
      </rPr>
      <t xml:space="preserve">
NIST SP 800-61 rev 2</t>
    </r>
    <r>
      <rPr>
        <sz val="11"/>
        <color theme="1"/>
        <rFont val="Calibri"/>
        <family val="2"/>
        <scheme val="minor"/>
      </rPr>
      <t xml:space="preserve"> (</t>
    </r>
    <r>
      <rPr>
        <sz val="11"/>
        <color rgb="FF0070C0"/>
        <rFont val="Calibri"/>
        <family val="2"/>
        <scheme val="minor"/>
      </rPr>
      <t>https://csrc.nist.gov/pubs/sp/800/61/r2/final</t>
    </r>
    <r>
      <rPr>
        <sz val="11"/>
        <color theme="1"/>
        <rFont val="Calibri"/>
        <family val="2"/>
        <scheme val="minor"/>
      </rPr>
      <t>)</t>
    </r>
    <r>
      <rPr>
        <b/>
        <sz val="11"/>
        <color theme="1"/>
        <rFont val="Calibri"/>
        <family val="2"/>
        <scheme val="minor"/>
      </rPr>
      <t xml:space="preserve">
NIST SP 800-161 rev 1</t>
    </r>
    <r>
      <rPr>
        <sz val="11"/>
        <color theme="1"/>
        <rFont val="Calibri"/>
        <family val="2"/>
        <scheme val="minor"/>
      </rPr>
      <t xml:space="preserve"> (</t>
    </r>
    <r>
      <rPr>
        <sz val="11"/>
        <color rgb="FF0070C0"/>
        <rFont val="Calibri"/>
        <family val="2"/>
        <scheme val="minor"/>
      </rPr>
      <t>https://csrc.nist.gov/pubs/sp/800/161/r1/upd1/final</t>
    </r>
    <r>
      <rPr>
        <sz val="11"/>
        <color theme="1"/>
        <rFont val="Calibri"/>
        <family val="2"/>
        <scheme val="minor"/>
      </rPr>
      <t xml:space="preserve">)
</t>
    </r>
    <r>
      <rPr>
        <b/>
        <sz val="11"/>
        <color theme="1"/>
        <rFont val="Calibri"/>
        <family val="2"/>
        <scheme val="minor"/>
      </rPr>
      <t>Rakennusten digitaalinen turvallisuus RT 103206</t>
    </r>
    <r>
      <rPr>
        <sz val="11"/>
        <color theme="1"/>
        <rFont val="Calibri"/>
        <family val="2"/>
        <scheme val="minor"/>
      </rPr>
      <t xml:space="preserve"> (</t>
    </r>
    <r>
      <rPr>
        <sz val="11"/>
        <color rgb="FF0070C0"/>
        <rFont val="Calibri"/>
        <family val="2"/>
        <scheme val="minor"/>
      </rPr>
      <t>https://kortistot.rakennustieto.fi/kortit/RT%20103206</t>
    </r>
    <r>
      <rPr>
        <sz val="11"/>
        <color theme="1"/>
        <rFont val="Calibri"/>
        <family val="2"/>
        <scheme val="minor"/>
      </rPr>
      <t xml:space="preserve">)
</t>
    </r>
    <r>
      <rPr>
        <b/>
        <sz val="11"/>
        <color theme="1"/>
        <rFont val="Calibri"/>
        <family val="2"/>
        <scheme val="minor"/>
      </rPr>
      <t>Rakennusten digitaalinen turvallisuus RT 103207</t>
    </r>
    <r>
      <rPr>
        <sz val="11"/>
        <color theme="1"/>
        <rFont val="Calibri"/>
        <family val="2"/>
        <scheme val="minor"/>
      </rPr>
      <t xml:space="preserve"> (</t>
    </r>
    <r>
      <rPr>
        <sz val="11"/>
        <color rgb="FF0070C0"/>
        <rFont val="Calibri"/>
        <family val="2"/>
        <scheme val="minor"/>
      </rPr>
      <t>https://kortistot.rakennustieto.fi/kortit/RT%20103207</t>
    </r>
    <r>
      <rPr>
        <sz val="11"/>
        <color theme="1"/>
        <rFont val="Calibri"/>
        <family val="2"/>
        <scheme val="minor"/>
      </rPr>
      <t xml:space="preserve">)
</t>
    </r>
    <r>
      <rPr>
        <b/>
        <sz val="11"/>
        <color theme="1"/>
        <rFont val="Calibri"/>
        <family val="2"/>
        <scheme val="minor"/>
      </rPr>
      <t>Rakennusten digitaalinen turvallisuus RT 103208</t>
    </r>
    <r>
      <rPr>
        <sz val="11"/>
        <color theme="1"/>
        <rFont val="Calibri"/>
        <family val="2"/>
        <scheme val="minor"/>
      </rPr>
      <t xml:space="preserve"> (</t>
    </r>
    <r>
      <rPr>
        <sz val="11"/>
        <color rgb="FF0070C0"/>
        <rFont val="Calibri"/>
        <family val="2"/>
        <scheme val="minor"/>
      </rPr>
      <t>https://kortistot.rakennustieto.fi/kortit/RT%20103208</t>
    </r>
    <r>
      <rPr>
        <sz val="11"/>
        <color theme="1"/>
        <rFont val="Calibri"/>
        <family val="2"/>
        <scheme val="minor"/>
      </rPr>
      <t>)</t>
    </r>
  </si>
  <si>
    <r>
      <rPr>
        <b/>
        <sz val="11"/>
        <color theme="1"/>
        <rFont val="Calibri"/>
        <family val="2"/>
        <scheme val="minor"/>
      </rPr>
      <t xml:space="preserve">Källor:
Europaparlamentets och rådets direktiv (EU) 2022/2555 </t>
    </r>
    <r>
      <rPr>
        <sz val="11"/>
        <color theme="1"/>
        <rFont val="Calibri"/>
        <family val="2"/>
        <scheme val="minor"/>
      </rPr>
      <t>(</t>
    </r>
    <r>
      <rPr>
        <sz val="11"/>
        <color rgb="FF0070C0"/>
        <rFont val="Calibri"/>
        <family val="2"/>
        <scheme val="minor"/>
      </rPr>
      <t>https://eur-lex.europa.eu/legal-content/SV/TXT/?uri=CELEX:32022L2555</t>
    </r>
    <r>
      <rPr>
        <sz val="11"/>
        <color theme="1"/>
        <rFont val="Calibri"/>
        <family val="2"/>
        <scheme val="minor"/>
      </rPr>
      <t xml:space="preserve">)
</t>
    </r>
    <r>
      <rPr>
        <b/>
        <sz val="11"/>
        <color theme="1"/>
        <rFont val="Calibri"/>
        <family val="2"/>
        <scheme val="minor"/>
      </rPr>
      <t xml:space="preserve">Kommissionens genomförandeförordning (EU) 2024/2690 </t>
    </r>
    <r>
      <rPr>
        <sz val="11"/>
        <color theme="1"/>
        <rFont val="Calibri"/>
        <family val="2"/>
        <scheme val="minor"/>
      </rPr>
      <t>(</t>
    </r>
    <r>
      <rPr>
        <sz val="11"/>
        <color rgb="FF0070C0"/>
        <rFont val="Calibri"/>
        <family val="2"/>
        <scheme val="minor"/>
      </rPr>
      <t>https://eur-lex.europa.eu/legal-content/SV/TXT/?uri=CELEX:32024R2690</t>
    </r>
    <r>
      <rPr>
        <sz val="11"/>
        <color theme="1"/>
        <rFont val="Calibri"/>
        <family val="2"/>
        <scheme val="minor"/>
      </rPr>
      <t xml:space="preserve">)
</t>
    </r>
    <r>
      <rPr>
        <b/>
        <sz val="11"/>
        <color theme="1"/>
        <rFont val="Calibri"/>
        <family val="2"/>
        <scheme val="minor"/>
      </rPr>
      <t>NIS CG Reference document</t>
    </r>
    <r>
      <rPr>
        <sz val="11"/>
        <color theme="1"/>
        <rFont val="Calibri"/>
        <family val="2"/>
        <scheme val="minor"/>
      </rPr>
      <t xml:space="preserve"> (Ännu inte allmänt tillgänglig)
</t>
    </r>
    <r>
      <rPr>
        <b/>
        <sz val="11"/>
        <color theme="1"/>
        <rFont val="Calibri"/>
        <family val="2"/>
        <scheme val="minor"/>
      </rPr>
      <t>Implementing Guidance On Commission Implementing Regulation (EU) 2024/2690</t>
    </r>
    <r>
      <rPr>
        <sz val="11"/>
        <color theme="1"/>
        <rFont val="Calibri"/>
        <family val="2"/>
        <scheme val="minor"/>
      </rPr>
      <t xml:space="preserve"> (utkast) (</t>
    </r>
    <r>
      <rPr>
        <sz val="11"/>
        <color rgb="FF0070C0"/>
        <rFont val="Calibri"/>
        <family val="2"/>
        <scheme val="minor"/>
      </rPr>
      <t>https://www.enisa.europa.eu/sites/default/files/2024-11/Implementation%20guidance%20on%20security%20measures_FOR%20PUBLIC%20CONSULTATION.pdf</t>
    </r>
    <r>
      <rPr>
        <sz val="11"/>
        <color theme="1"/>
        <rFont val="Calibri"/>
        <family val="2"/>
        <scheme val="minor"/>
      </rPr>
      <t xml:space="preserve">)
</t>
    </r>
    <r>
      <rPr>
        <b/>
        <sz val="11"/>
        <color theme="1"/>
        <rFont val="Calibri"/>
        <family val="2"/>
        <scheme val="minor"/>
      </rPr>
      <t>Cybersäkerhetslagen och ändring av lagen om informationshantering inom den offentliga förvaltningen</t>
    </r>
    <r>
      <rPr>
        <sz val="11"/>
        <color theme="1"/>
        <rFont val="Calibri"/>
        <family val="2"/>
        <scheme val="minor"/>
      </rPr>
      <t xml:space="preserve"> (utkast HE 57/2024) (</t>
    </r>
    <r>
      <rPr>
        <sz val="11"/>
        <color rgb="FF0070C0"/>
        <rFont val="Calibri"/>
        <family val="2"/>
        <scheme val="minor"/>
      </rPr>
      <t>https://www.finlex.fi/fi/esitykset/he/2024/20240057</t>
    </r>
    <r>
      <rPr>
        <sz val="11"/>
        <color theme="1"/>
        <rFont val="Calibri"/>
        <family val="2"/>
        <scheme val="minor"/>
      </rPr>
      <t xml:space="preserve">)
</t>
    </r>
    <r>
      <rPr>
        <b/>
        <sz val="11"/>
        <color theme="1"/>
        <rFont val="Calibri"/>
        <family val="2"/>
        <scheme val="minor"/>
      </rPr>
      <t>Cybermätaren</t>
    </r>
    <r>
      <rPr>
        <sz val="11"/>
        <color theme="1"/>
        <rFont val="Calibri"/>
        <family val="2"/>
        <scheme val="minor"/>
      </rPr>
      <t xml:space="preserve"> (</t>
    </r>
    <r>
      <rPr>
        <sz val="11"/>
        <color rgb="FF0070C0"/>
        <rFont val="Calibri"/>
        <family val="2"/>
        <scheme val="minor"/>
      </rPr>
      <t>https://www.kybermittari.fi/</t>
    </r>
    <r>
      <rPr>
        <sz val="11"/>
        <color theme="1"/>
        <rFont val="Calibri"/>
        <family val="2"/>
        <scheme val="minor"/>
      </rPr>
      <t xml:space="preserve">)
</t>
    </r>
    <r>
      <rPr>
        <b/>
        <sz val="11"/>
        <color theme="1"/>
        <rFont val="Calibri"/>
        <family val="2"/>
        <scheme val="minor"/>
      </rPr>
      <t>ISO/IEC 27001:2022</t>
    </r>
    <r>
      <rPr>
        <sz val="11"/>
        <color theme="1"/>
        <rFont val="Calibri"/>
        <family val="2"/>
        <scheme val="minor"/>
      </rPr>
      <t xml:space="preserve"> (</t>
    </r>
    <r>
      <rPr>
        <sz val="11"/>
        <color rgb="FF0070C0"/>
        <rFont val="Calibri"/>
        <family val="2"/>
        <scheme val="minor"/>
      </rPr>
      <t>https://www.iso.org/standard/27001</t>
    </r>
    <r>
      <rPr>
        <sz val="11"/>
        <color theme="1"/>
        <rFont val="Calibri"/>
        <family val="2"/>
        <scheme val="minor"/>
      </rPr>
      <t>)</t>
    </r>
    <r>
      <rPr>
        <b/>
        <sz val="11"/>
        <color theme="1"/>
        <rFont val="Calibri"/>
        <family val="2"/>
        <scheme val="minor"/>
      </rPr>
      <t xml:space="preserve">
ISO/IEC 27002:2022</t>
    </r>
    <r>
      <rPr>
        <sz val="11"/>
        <color theme="1"/>
        <rFont val="Calibri"/>
        <family val="2"/>
        <scheme val="minor"/>
      </rPr>
      <t xml:space="preserve"> (</t>
    </r>
    <r>
      <rPr>
        <sz val="11"/>
        <color rgb="FF0070C0"/>
        <rFont val="Calibri"/>
        <family val="2"/>
        <scheme val="minor"/>
      </rPr>
      <t>https://www.iso.org/standard/75652.html</t>
    </r>
    <r>
      <rPr>
        <sz val="11"/>
        <color theme="1"/>
        <rFont val="Calibri"/>
        <family val="2"/>
        <scheme val="minor"/>
      </rPr>
      <t>)</t>
    </r>
    <r>
      <rPr>
        <b/>
        <sz val="11"/>
        <color theme="1"/>
        <rFont val="Calibri"/>
        <family val="2"/>
        <scheme val="minor"/>
      </rPr>
      <t xml:space="preserve">
ISO/IEC 27005:2022</t>
    </r>
    <r>
      <rPr>
        <sz val="11"/>
        <color theme="1"/>
        <rFont val="Calibri"/>
        <family val="2"/>
        <scheme val="minor"/>
      </rPr>
      <t xml:space="preserve"> (</t>
    </r>
    <r>
      <rPr>
        <sz val="11"/>
        <color rgb="FF0070C0"/>
        <rFont val="Calibri"/>
        <family val="2"/>
        <scheme val="minor"/>
      </rPr>
      <t>https://www.iso.org/standard/80585.html</t>
    </r>
    <r>
      <rPr>
        <sz val="11"/>
        <color theme="1"/>
        <rFont val="Calibri"/>
        <family val="2"/>
        <scheme val="minor"/>
      </rPr>
      <t>)</t>
    </r>
    <r>
      <rPr>
        <b/>
        <sz val="11"/>
        <color theme="1"/>
        <rFont val="Calibri"/>
        <family val="2"/>
        <scheme val="minor"/>
      </rPr>
      <t xml:space="preserve">
ISO/IEC 27035-1:2023</t>
    </r>
    <r>
      <rPr>
        <sz val="11"/>
        <color theme="1"/>
        <rFont val="Calibri"/>
        <family val="2"/>
        <scheme val="minor"/>
      </rPr>
      <t xml:space="preserve"> (</t>
    </r>
    <r>
      <rPr>
        <sz val="11"/>
        <color rgb="FF0070C0"/>
        <rFont val="Calibri"/>
        <family val="2"/>
        <scheme val="minor"/>
      </rPr>
      <t>https://www.iso.org/standard/78973.html</t>
    </r>
    <r>
      <rPr>
        <sz val="11"/>
        <color theme="1"/>
        <rFont val="Calibri"/>
        <family val="2"/>
        <scheme val="minor"/>
      </rPr>
      <t>)</t>
    </r>
    <r>
      <rPr>
        <b/>
        <sz val="11"/>
        <color theme="1"/>
        <rFont val="Calibri"/>
        <family val="2"/>
        <scheme val="minor"/>
      </rPr>
      <t xml:space="preserve">
ISO/IEC 27035-2:2023</t>
    </r>
    <r>
      <rPr>
        <sz val="11"/>
        <color theme="1"/>
        <rFont val="Calibri"/>
        <family val="2"/>
        <scheme val="minor"/>
      </rPr>
      <t xml:space="preserve"> (</t>
    </r>
    <r>
      <rPr>
        <sz val="11"/>
        <color rgb="FF0070C0"/>
        <rFont val="Calibri"/>
        <family val="2"/>
        <scheme val="minor"/>
      </rPr>
      <t>https://www.iso.org/standard/78974.html</t>
    </r>
    <r>
      <rPr>
        <sz val="11"/>
        <color theme="1"/>
        <rFont val="Calibri"/>
        <family val="2"/>
        <scheme val="minor"/>
      </rPr>
      <t>)</t>
    </r>
    <r>
      <rPr>
        <b/>
        <sz val="11"/>
        <color theme="1"/>
        <rFont val="Calibri"/>
        <family val="2"/>
        <scheme val="minor"/>
      </rPr>
      <t xml:space="preserve">
ISO 28000:2022</t>
    </r>
    <r>
      <rPr>
        <sz val="11"/>
        <color theme="1"/>
        <rFont val="Calibri"/>
        <family val="2"/>
        <scheme val="minor"/>
      </rPr>
      <t xml:space="preserve"> (</t>
    </r>
    <r>
      <rPr>
        <sz val="11"/>
        <color rgb="FF0070C0"/>
        <rFont val="Calibri"/>
        <family val="2"/>
        <scheme val="minor"/>
      </rPr>
      <t>https://www.iso.org/standard/79612.html</t>
    </r>
    <r>
      <rPr>
        <sz val="11"/>
        <color theme="1"/>
        <rFont val="Calibri"/>
        <family val="2"/>
        <scheme val="minor"/>
      </rPr>
      <t>)</t>
    </r>
    <r>
      <rPr>
        <b/>
        <sz val="11"/>
        <color theme="1"/>
        <rFont val="Calibri"/>
        <family val="2"/>
        <scheme val="minor"/>
      </rPr>
      <t xml:space="preserve">
IEC 62443-2-1:2010</t>
    </r>
    <r>
      <rPr>
        <sz val="11"/>
        <color theme="1"/>
        <rFont val="Calibri"/>
        <family val="2"/>
        <scheme val="minor"/>
      </rPr>
      <t xml:space="preserve"> (</t>
    </r>
    <r>
      <rPr>
        <sz val="11"/>
        <color rgb="FF0070C0"/>
        <rFont val="Calibri"/>
        <family val="2"/>
        <scheme val="minor"/>
      </rPr>
      <t>https://webstore.iec.ch/en/publication/7030</t>
    </r>
    <r>
      <rPr>
        <sz val="11"/>
        <color theme="1"/>
        <rFont val="Calibri"/>
        <family val="2"/>
        <scheme val="minor"/>
      </rPr>
      <t>)</t>
    </r>
    <r>
      <rPr>
        <b/>
        <sz val="11"/>
        <color theme="1"/>
        <rFont val="Calibri"/>
        <family val="2"/>
        <scheme val="minor"/>
      </rPr>
      <t xml:space="preserve">
IEC 62443-2-1:2024</t>
    </r>
    <r>
      <rPr>
        <sz val="11"/>
        <color theme="1"/>
        <rFont val="Calibri"/>
        <family val="2"/>
        <scheme val="minor"/>
      </rPr>
      <t xml:space="preserve"> (</t>
    </r>
    <r>
      <rPr>
        <sz val="11"/>
        <color rgb="FF0070C0"/>
        <rFont val="Calibri"/>
        <family val="2"/>
        <scheme val="minor"/>
      </rPr>
      <t>https://webstore.iec.ch/en/publication/62883</t>
    </r>
    <r>
      <rPr>
        <sz val="11"/>
        <color theme="1"/>
        <rFont val="Calibri"/>
        <family val="2"/>
        <scheme val="minor"/>
      </rPr>
      <t>)</t>
    </r>
    <r>
      <rPr>
        <b/>
        <sz val="11"/>
        <color theme="1"/>
        <rFont val="Calibri"/>
        <family val="2"/>
        <scheme val="minor"/>
      </rPr>
      <t xml:space="preserve">
IEC 62443-2-4:2015</t>
    </r>
    <r>
      <rPr>
        <sz val="11"/>
        <color theme="1"/>
        <rFont val="Calibri"/>
        <family val="2"/>
        <scheme val="minor"/>
      </rPr>
      <t xml:space="preserve"> (</t>
    </r>
    <r>
      <rPr>
        <sz val="11"/>
        <color rgb="FF0070C0"/>
        <rFont val="Calibri"/>
        <family val="2"/>
        <scheme val="minor"/>
      </rPr>
      <t>https://webstore.iec.ch/en/publication/22810</t>
    </r>
    <r>
      <rPr>
        <sz val="11"/>
        <color theme="1"/>
        <rFont val="Calibri"/>
        <family val="2"/>
        <scheme val="minor"/>
      </rPr>
      <t>)</t>
    </r>
    <r>
      <rPr>
        <b/>
        <sz val="11"/>
        <color theme="1"/>
        <rFont val="Calibri"/>
        <family val="2"/>
        <scheme val="minor"/>
      </rPr>
      <t xml:space="preserve">
IEC 62443-2-4:2023</t>
    </r>
    <r>
      <rPr>
        <sz val="11"/>
        <color theme="1"/>
        <rFont val="Calibri"/>
        <family val="2"/>
        <scheme val="minor"/>
      </rPr>
      <t xml:space="preserve"> (</t>
    </r>
    <r>
      <rPr>
        <sz val="11"/>
        <color rgb="FF0070C0"/>
        <rFont val="Calibri"/>
        <family val="2"/>
        <scheme val="minor"/>
      </rPr>
      <t>https://webstore.iec.ch/en/publication/67631</t>
    </r>
    <r>
      <rPr>
        <sz val="11"/>
        <color theme="1"/>
        <rFont val="Calibri"/>
        <family val="2"/>
        <scheme val="minor"/>
      </rPr>
      <t xml:space="preserve">)
</t>
    </r>
    <r>
      <rPr>
        <b/>
        <sz val="11"/>
        <color theme="1"/>
        <rFont val="Calibri"/>
        <family val="2"/>
        <scheme val="minor"/>
      </rPr>
      <t xml:space="preserve">IEC 62443-3-3:2013 </t>
    </r>
    <r>
      <rPr>
        <sz val="11"/>
        <color theme="1"/>
        <rFont val="Calibri"/>
        <family val="2"/>
        <scheme val="minor"/>
      </rPr>
      <t>(</t>
    </r>
    <r>
      <rPr>
        <sz val="11"/>
        <color rgb="FF0070C0"/>
        <rFont val="Calibri"/>
        <family val="2"/>
        <scheme val="minor"/>
      </rPr>
      <t>https://webstore.iec.ch/en/publication/7033</t>
    </r>
    <r>
      <rPr>
        <sz val="11"/>
        <color theme="1"/>
        <rFont val="Calibri"/>
        <family val="2"/>
        <scheme val="minor"/>
      </rPr>
      <t>)</t>
    </r>
    <r>
      <rPr>
        <b/>
        <sz val="11"/>
        <color theme="1"/>
        <rFont val="Calibri"/>
        <family val="2"/>
        <scheme val="minor"/>
      </rPr>
      <t xml:space="preserve">
NIST CSF 1.1</t>
    </r>
    <r>
      <rPr>
        <sz val="11"/>
        <color theme="1"/>
        <rFont val="Calibri"/>
        <family val="2"/>
        <scheme val="minor"/>
      </rPr>
      <t xml:space="preserve"> (</t>
    </r>
    <r>
      <rPr>
        <sz val="11"/>
        <color rgb="FF0070C0"/>
        <rFont val="Calibri"/>
        <family val="2"/>
        <scheme val="minor"/>
      </rPr>
      <t>https://www.nist.gov/cyberframework/csf-11-archive</t>
    </r>
    <r>
      <rPr>
        <sz val="11"/>
        <color theme="1"/>
        <rFont val="Calibri"/>
        <family val="2"/>
        <scheme val="minor"/>
      </rPr>
      <t>)</t>
    </r>
    <r>
      <rPr>
        <b/>
        <sz val="11"/>
        <color theme="1"/>
        <rFont val="Calibri"/>
        <family val="2"/>
        <scheme val="minor"/>
      </rPr>
      <t xml:space="preserve">
NIST CSF 2.0</t>
    </r>
    <r>
      <rPr>
        <sz val="11"/>
        <color theme="1"/>
        <rFont val="Calibri"/>
        <family val="2"/>
        <scheme val="minor"/>
      </rPr>
      <t xml:space="preserve"> (</t>
    </r>
    <r>
      <rPr>
        <sz val="11"/>
        <color rgb="FF0070C0"/>
        <rFont val="Calibri"/>
        <family val="2"/>
        <scheme val="minor"/>
      </rPr>
      <t>https://nvlpubs.nist.gov/nistpubs/CSWP/NIST.CSWP.29.pdf</t>
    </r>
    <r>
      <rPr>
        <sz val="11"/>
        <color theme="1"/>
        <rFont val="Calibri"/>
        <family val="2"/>
        <scheme val="minor"/>
      </rPr>
      <t>)</t>
    </r>
    <r>
      <rPr>
        <b/>
        <sz val="11"/>
        <color theme="1"/>
        <rFont val="Calibri"/>
        <family val="2"/>
        <scheme val="minor"/>
      </rPr>
      <t xml:space="preserve">
NIST SP 800-30 rev 1</t>
    </r>
    <r>
      <rPr>
        <sz val="11"/>
        <color theme="1"/>
        <rFont val="Calibri"/>
        <family val="2"/>
        <scheme val="minor"/>
      </rPr>
      <t xml:space="preserve"> (</t>
    </r>
    <r>
      <rPr>
        <sz val="11"/>
        <color rgb="FF0070C0"/>
        <rFont val="Calibri"/>
        <family val="2"/>
        <scheme val="minor"/>
      </rPr>
      <t>https://csrc.nist.gov/pubs/sp/800/30/r1/final</t>
    </r>
    <r>
      <rPr>
        <sz val="11"/>
        <color theme="1"/>
        <rFont val="Calibri"/>
        <family val="2"/>
        <scheme val="minor"/>
      </rPr>
      <t>)</t>
    </r>
    <r>
      <rPr>
        <b/>
        <sz val="11"/>
        <color theme="1"/>
        <rFont val="Calibri"/>
        <family val="2"/>
        <scheme val="minor"/>
      </rPr>
      <t xml:space="preserve">
NIST SP 800-37 rev 2</t>
    </r>
    <r>
      <rPr>
        <sz val="11"/>
        <color theme="1"/>
        <rFont val="Calibri"/>
        <family val="2"/>
        <scheme val="minor"/>
      </rPr>
      <t xml:space="preserve"> (</t>
    </r>
    <r>
      <rPr>
        <sz val="11"/>
        <color rgb="FF0070C0"/>
        <rFont val="Calibri"/>
        <family val="2"/>
        <scheme val="minor"/>
      </rPr>
      <t>https://csrc.nist.gov/pubs/sp/800/37/r2/final</t>
    </r>
    <r>
      <rPr>
        <sz val="11"/>
        <color theme="1"/>
        <rFont val="Calibri"/>
        <family val="2"/>
        <scheme val="minor"/>
      </rPr>
      <t>)</t>
    </r>
    <r>
      <rPr>
        <b/>
        <sz val="11"/>
        <color theme="1"/>
        <rFont val="Calibri"/>
        <family val="2"/>
        <scheme val="minor"/>
      </rPr>
      <t xml:space="preserve">
NIST SP 800-61 rev 2</t>
    </r>
    <r>
      <rPr>
        <sz val="11"/>
        <color theme="1"/>
        <rFont val="Calibri"/>
        <family val="2"/>
        <scheme val="minor"/>
      </rPr>
      <t xml:space="preserve"> (</t>
    </r>
    <r>
      <rPr>
        <sz val="11"/>
        <color rgb="FF0070C0"/>
        <rFont val="Calibri"/>
        <family val="2"/>
        <scheme val="minor"/>
      </rPr>
      <t>https://csrc.nist.gov/pubs/sp/800/61/r2/final</t>
    </r>
    <r>
      <rPr>
        <sz val="11"/>
        <color theme="1"/>
        <rFont val="Calibri"/>
        <family val="2"/>
        <scheme val="minor"/>
      </rPr>
      <t>)</t>
    </r>
    <r>
      <rPr>
        <b/>
        <sz val="11"/>
        <color theme="1"/>
        <rFont val="Calibri"/>
        <family val="2"/>
        <scheme val="minor"/>
      </rPr>
      <t xml:space="preserve">
NIST SP 800-161 rev 1</t>
    </r>
    <r>
      <rPr>
        <sz val="11"/>
        <color theme="1"/>
        <rFont val="Calibri"/>
        <family val="2"/>
        <scheme val="minor"/>
      </rPr>
      <t xml:space="preserve"> (</t>
    </r>
    <r>
      <rPr>
        <sz val="11"/>
        <color rgb="FF0070C0"/>
        <rFont val="Calibri"/>
        <family val="2"/>
        <scheme val="minor"/>
      </rPr>
      <t>https://csrc.nist.gov/pubs/sp/800/161/r1/upd1/final</t>
    </r>
    <r>
      <rPr>
        <sz val="11"/>
        <color theme="1"/>
        <rFont val="Calibri"/>
        <family val="2"/>
        <scheme val="minor"/>
      </rPr>
      <t xml:space="preserve">)
</t>
    </r>
    <r>
      <rPr>
        <b/>
        <sz val="11"/>
        <color theme="1"/>
        <rFont val="Calibri"/>
        <family val="2"/>
        <scheme val="minor"/>
      </rPr>
      <t>Rakennusten digitaalinen turvallisuus RT 103206</t>
    </r>
    <r>
      <rPr>
        <sz val="11"/>
        <color theme="1"/>
        <rFont val="Calibri"/>
        <family val="2"/>
        <scheme val="minor"/>
      </rPr>
      <t xml:space="preserve"> (</t>
    </r>
    <r>
      <rPr>
        <sz val="11"/>
        <color rgb="FF0070C0"/>
        <rFont val="Calibri"/>
        <family val="2"/>
        <scheme val="minor"/>
      </rPr>
      <t>https://kortistot.rakennustieto.fi/kortit/RT%20103206</t>
    </r>
    <r>
      <rPr>
        <sz val="11"/>
        <color theme="1"/>
        <rFont val="Calibri"/>
        <family val="2"/>
        <scheme val="minor"/>
      </rPr>
      <t xml:space="preserve">)
</t>
    </r>
    <r>
      <rPr>
        <b/>
        <sz val="11"/>
        <color theme="1"/>
        <rFont val="Calibri"/>
        <family val="2"/>
        <scheme val="minor"/>
      </rPr>
      <t>Rakennusten digitaalinen turvallisuus RT 103207</t>
    </r>
    <r>
      <rPr>
        <sz val="11"/>
        <color theme="1"/>
        <rFont val="Calibri"/>
        <family val="2"/>
        <scheme val="minor"/>
      </rPr>
      <t xml:space="preserve"> (</t>
    </r>
    <r>
      <rPr>
        <sz val="11"/>
        <color rgb="FF0070C0"/>
        <rFont val="Calibri"/>
        <family val="2"/>
        <scheme val="minor"/>
      </rPr>
      <t>https://kortistot.rakennustieto.fi/kortit/RT%20103207</t>
    </r>
    <r>
      <rPr>
        <sz val="11"/>
        <color theme="1"/>
        <rFont val="Calibri"/>
        <family val="2"/>
        <scheme val="minor"/>
      </rPr>
      <t xml:space="preserve">)
</t>
    </r>
    <r>
      <rPr>
        <b/>
        <sz val="11"/>
        <color theme="1"/>
        <rFont val="Calibri"/>
        <family val="2"/>
        <scheme val="minor"/>
      </rPr>
      <t>Rakennusten digitaalinen turvallisuus RT 103208</t>
    </r>
    <r>
      <rPr>
        <sz val="11"/>
        <color theme="1"/>
        <rFont val="Calibri"/>
        <family val="2"/>
        <scheme val="minor"/>
      </rPr>
      <t xml:space="preserve"> (</t>
    </r>
    <r>
      <rPr>
        <sz val="11"/>
        <color rgb="FF0070C0"/>
        <rFont val="Calibri"/>
        <family val="2"/>
        <scheme val="minor"/>
      </rPr>
      <t>https://kortistot.rakennustieto.fi/kortit/RT%20103208</t>
    </r>
    <r>
      <rPr>
        <sz val="11"/>
        <color theme="1"/>
        <rFont val="Calibri"/>
        <family val="2"/>
        <scheme val="minor"/>
      </rPr>
      <t>)</t>
    </r>
  </si>
  <si>
    <t>REF_RIVINRO</t>
  </si>
  <si>
    <t>REF_NIS2</t>
  </si>
  <si>
    <t>REF_NISCGREFERENCE</t>
  </si>
  <si>
    <t>REF_TPA</t>
  </si>
  <si>
    <t>REF_IMPLEMENTINGGUIDANCE</t>
  </si>
  <si>
    <t>REF_KYBERMITTARI</t>
  </si>
  <si>
    <t>REF_KYBERMITTARI_IG</t>
  </si>
  <si>
    <t>REF_KYBERTURVALLISUUSLAKI</t>
  </si>
  <si>
    <t>REF_TIEDONHALLINTALAKI</t>
  </si>
  <si>
    <t>REF_SUOSITUS</t>
  </si>
  <si>
    <t>Line number</t>
  </si>
  <si>
    <t>Radnummer</t>
  </si>
  <si>
    <t>(EU) 2022/2555
NIS2 Artikel</t>
  </si>
  <si>
    <t>(EU) 2022/2555
NIS2 Artikla</t>
  </si>
  <si>
    <t>(EU) 2024/2690
BILAGA till kommissionens genomförandeförordning</t>
  </si>
  <si>
    <t>(EU) 2024/2690
Komission täytäntöönpanoasetuksen liite</t>
  </si>
  <si>
    <t>NIS-yhteistyöryhmän referenssidokumentti</t>
  </si>
  <si>
    <t>NIS samarbetsgruppens referensdokument</t>
  </si>
  <si>
    <t>Komission täytäntöönpanoasetuksen (EU) 2024/2690 soveltamisohje</t>
  </si>
  <si>
    <t>Vägledning för genomförande av kommissionens genomförandeförordning (EU) 2024/2690</t>
  </si>
  <si>
    <t>Cybermeter references in Implementing Guidance</t>
  </si>
  <si>
    <t>Kybermittariviittaukset täytäntöönpanoasetuksen soveltamisohjeessa</t>
  </si>
  <si>
    <t>Referenser till Cybermäteren i vägledning för genomförande</t>
  </si>
  <si>
    <t>Cybersecurity Act 9 §</t>
  </si>
  <si>
    <t>Cybersäkerhetslagen 9 §</t>
  </si>
  <si>
    <t>Lag om informationshantering inom den offentliga förvaltningen 18 §</t>
  </si>
  <si>
    <t>Laki julkisen hallinnon tiedonhallinnasta 18 §</t>
  </si>
  <si>
    <t>Act on Information Management in Public Administration 18 §</t>
  </si>
  <si>
    <t xml:space="preserve">Transport- och kommunikationsverket Traficoms rekommendation till NIS-övervakande myndigheter om åtgärder för riskhantering </t>
  </si>
  <si>
    <t>Kybermittari</t>
  </si>
  <si>
    <t>Cybermeter</t>
  </si>
  <si>
    <t>Cybermätaren</t>
  </si>
  <si>
    <t>REF_SUOSITUS_1.1</t>
  </si>
  <si>
    <t>REF_SUOSITUS_1.1.1</t>
  </si>
  <si>
    <t>REF_SUOSITUS_1.2</t>
  </si>
  <si>
    <t>REF_SUOSITUS_1.3</t>
  </si>
  <si>
    <t>REF_SUOSITUS_1.4</t>
  </si>
  <si>
    <t>REF_SUOSITUS_1.4.1</t>
  </si>
  <si>
    <t>REF_SUOSITUS_1.5</t>
  </si>
  <si>
    <t>REF_SUOSITUS_1.6</t>
  </si>
  <si>
    <t>REF_SUOSITUS_1.6.1</t>
  </si>
  <si>
    <t>REF_SUOSITUS_2.1</t>
  </si>
  <si>
    <t>REF_SUOSITUS_2.1.1</t>
  </si>
  <si>
    <t>REF_SUOSITUS_2.2</t>
  </si>
  <si>
    <t>REF_SUOSITUS_2.3</t>
  </si>
  <si>
    <t>REF_SUOSITUS_3.1</t>
  </si>
  <si>
    <t>REF_SUOSITUS_3.1.1</t>
  </si>
  <si>
    <t>REF_SUOSITUS_3.2</t>
  </si>
  <si>
    <t>REF_SUOSITUS_3.3</t>
  </si>
  <si>
    <t>REF_SUOSITUS_3.3.1</t>
  </si>
  <si>
    <t>REF_SUOSITUS_3.4</t>
  </si>
  <si>
    <t>REF_SUOSITUS_3.4.1</t>
  </si>
  <si>
    <t>REF_SUOSITUS_3.5</t>
  </si>
  <si>
    <t>REF_SUOSITUS_3.6</t>
  </si>
  <si>
    <t>REF_SUOSITUS_3.7</t>
  </si>
  <si>
    <t>REF_SUOSITUS_3.8</t>
  </si>
  <si>
    <t>REF_SUOSITUS_3.9</t>
  </si>
  <si>
    <t>REF_SUOSITUS_4.1</t>
  </si>
  <si>
    <t>REF_SUOSITUS_4.2</t>
  </si>
  <si>
    <t>REF_SUOSITUS_5.1</t>
  </si>
  <si>
    <t>REF_SUOSITUS_5.2</t>
  </si>
  <si>
    <t>REF_SUOSITUS_5.3</t>
  </si>
  <si>
    <t>REF_SUOSITUS_6.1</t>
  </si>
  <si>
    <t>REF_SUOSITUS_6.2</t>
  </si>
  <si>
    <t>REF_SUOSITUS_6.3</t>
  </si>
  <si>
    <t>REF_SUOSITUS_6.4</t>
  </si>
  <si>
    <t>REF_SUOSITUS_6.5</t>
  </si>
  <si>
    <t>REF_SUOSITUS_6.5.1</t>
  </si>
  <si>
    <t>REF_SUOSITUS_6.6</t>
  </si>
  <si>
    <t>REF_SUOSITUS_7.1</t>
  </si>
  <si>
    <t>REF_SUOSITUS_7.2</t>
  </si>
  <si>
    <t>REF_SUOSITUS_7.3</t>
  </si>
  <si>
    <t>REF_SUOSITUS_7.3.1</t>
  </si>
  <si>
    <t>REF_SUOSITUS_7.4</t>
  </si>
  <si>
    <t>REF_SUOSITUS_7.5</t>
  </si>
  <si>
    <t>REF_SUOSITUS_7.6</t>
  </si>
  <si>
    <t>REF_SUOSITUS_8.1</t>
  </si>
  <si>
    <t>REF_SUOSITUS_8.2</t>
  </si>
  <si>
    <t>REF_SUOSITUS_8.3</t>
  </si>
  <si>
    <t>REF_SUOSITUS_9.1</t>
  </si>
  <si>
    <t>REF_SUOSITUS_9.2</t>
  </si>
  <si>
    <t>REF_SUOSITUS_9.3</t>
  </si>
  <si>
    <t>REF_SUOSITUS_9.4</t>
  </si>
  <si>
    <t>REF_SUOSITUS_9.5</t>
  </si>
  <si>
    <t>REF_SUOSITUS_9.6</t>
  </si>
  <si>
    <t>REF_SUOSITUS_9.7</t>
  </si>
  <si>
    <t>REF_SUOSITUS_9.8</t>
  </si>
  <si>
    <t>REF_SUOSITUS_9.9</t>
  </si>
  <si>
    <t>REF_SUOSITUS_10.1</t>
  </si>
  <si>
    <t>REF_SUOSITUS_10.2</t>
  </si>
  <si>
    <t>REF_SUOSITUS_10.3</t>
  </si>
  <si>
    <t>REF_SUOSITUS_10.4</t>
  </si>
  <si>
    <t>REF_SUOSITUS_11.1</t>
  </si>
  <si>
    <t>REF_SUOSITUS_11.1.1</t>
  </si>
  <si>
    <t>REF_SUOSITUS_11.2</t>
  </si>
  <si>
    <t>REF_SUOSITUS_11.3</t>
  </si>
  <si>
    <t>REF_SUOSITUS_11.4</t>
  </si>
  <si>
    <t>REF_SUOSITUS_11.5</t>
  </si>
  <si>
    <t>REF_SUOSITUS_11.6</t>
  </si>
  <si>
    <t>REF_SUOSITUS_11.7</t>
  </si>
  <si>
    <t>REF_SUOSITUS_11.8</t>
  </si>
  <si>
    <t>REF_SUOSITUS_11.9</t>
  </si>
  <si>
    <t>REF_SUOSITUS_11.10</t>
  </si>
  <si>
    <t>REF_SUOSITUS_11.11</t>
  </si>
  <si>
    <t>REF_SUOSITUS_11.12</t>
  </si>
  <si>
    <t>REF_SUOSITUS_11.13</t>
  </si>
  <si>
    <t>REF_SUOSITUS_12.1</t>
  </si>
  <si>
    <t>REF_SUOSITUS_12.2</t>
  </si>
  <si>
    <t>REF_SUOSITUS_12.3</t>
  </si>
  <si>
    <t xml:space="preserve">1.1 Kyberturvallisuuden riskienhallinnan toimintamalli  </t>
  </si>
  <si>
    <t xml:space="preserve">1.1.1 Riskienhallinnan toimintamalli - laajennettu ohjeistus </t>
  </si>
  <si>
    <t xml:space="preserve">1.2 Kaikki vaaratekijät huomioiva lähestymistapa  </t>
  </si>
  <si>
    <t xml:space="preserve">1.3 Tarpeiden ja toimintojen tunnistaminen </t>
  </si>
  <si>
    <t xml:space="preserve">1.4 Uhkien tunnistaminen  </t>
  </si>
  <si>
    <t xml:space="preserve">1.4.1 Uhka-analyysi - laajennettu ohjeistus </t>
  </si>
  <si>
    <t xml:space="preserve">1.5 Riskien käsittely  </t>
  </si>
  <si>
    <t xml:space="preserve">1.6 Riskienhallinnan vaikuttavuuden arviointi ja mittaristo  </t>
  </si>
  <si>
    <t xml:space="preserve">1.6.1 Riskienhallinnan vaikuttavuuden arviointi ja mittaristo - laajennettu ohjeistus  </t>
  </si>
  <si>
    <t xml:space="preserve">2.1 Turvallisuutta koskevat toimintaperiaatteet ja menettelyt  </t>
  </si>
  <si>
    <t>2.1.1 Turvallisuutta koskevat toimintaperiaatteet ja menettelyt - laajennettu ohjeistus</t>
  </si>
  <si>
    <t xml:space="preserve">2.2 Henkilöstön sitouttaminen </t>
  </si>
  <si>
    <t xml:space="preserve">2.3 Turvallisuusmenettelyiden valinta  </t>
  </si>
  <si>
    <t>3.1 Viestintäverkkojen ja tietojärjestelmien suojaus elinkaaren ajan</t>
  </si>
  <si>
    <t>3.1.1 Turvallinen tuotekehitys - laajennettu ohjeistus</t>
  </si>
  <si>
    <t xml:space="preserve">3.2 Hankinnan kohteen turvallisuus  </t>
  </si>
  <si>
    <t xml:space="preserve">3.3 Järjestelmäkovennukset  </t>
  </si>
  <si>
    <t xml:space="preserve">3.3.1 Järjestelmäkovennukset viestintäverkkoon ja tietojärjestelmään toteutetaan järjestelmällisesti ja kattavasti - laajennettu ohjeistus </t>
  </si>
  <si>
    <t xml:space="preserve">3.4 Muutosten ja päivitysten hallinta  </t>
  </si>
  <si>
    <t xml:space="preserve">3.4.1 Muutosten ja päivitysten hallinta on järjestelmällistä - laajennettu ohjeistus  </t>
  </si>
  <si>
    <t xml:space="preserve">3.5 Turvallisuuden testaus </t>
  </si>
  <si>
    <t xml:space="preserve">3.6 Haavoittuvuuksien käsittely ja julkistaminen  </t>
  </si>
  <si>
    <t xml:space="preserve">3.7 Toimitettavien palveluiden turvallisuus </t>
  </si>
  <si>
    <t xml:space="preserve">3.8 Viestintäverkkojen rakenteellinen turvallisuus  </t>
  </si>
  <si>
    <t xml:space="preserve">3.9 Haittaliikennesuojaukset </t>
  </si>
  <si>
    <t xml:space="preserve">4.1 Listaus toimittajista ja palveluntarjoajista  </t>
  </si>
  <si>
    <t xml:space="preserve">4.2 Toimitusketjujen riskienhallinta  </t>
  </si>
  <si>
    <t xml:space="preserve">5.1 Omaisuudenhallinnan menettelyt ja ohjeet  </t>
  </si>
  <si>
    <t xml:space="preserve">5.2 Omaisuusluettelo ja omaisuuden luokittelu  </t>
  </si>
  <si>
    <t xml:space="preserve">5.3 Omaisuusluettelon käyttö  </t>
  </si>
  <si>
    <t xml:space="preserve">6.1 Henkilöstöturvallisuuden menettelyt </t>
  </si>
  <si>
    <t xml:space="preserve">6.2 Henkilöstöturvallisuuden menettelytavat </t>
  </si>
  <si>
    <t xml:space="preserve">6.3 Salassapito ja velvollisuudet </t>
  </si>
  <si>
    <t xml:space="preserve">6.4 Taustatarkistukset  </t>
  </si>
  <si>
    <t xml:space="preserve">6.5 Henkilöstökoulutus </t>
  </si>
  <si>
    <t xml:space="preserve">6.5.1 Henkilöstökoulutus - laajennettu ohjeistus  </t>
  </si>
  <si>
    <t xml:space="preserve">6.6 Johdon perehtyneisyys  </t>
  </si>
  <si>
    <t xml:space="preserve">7.1 Pääsynhallinnan menettelyt  </t>
  </si>
  <si>
    <t xml:space="preserve">7.2 Pääsynhallinnan ja käyttöoikeuksien jatkuva ylläpito  </t>
  </si>
  <si>
    <t xml:space="preserve">7.3 Pääsynhallinnan valvonta </t>
  </si>
  <si>
    <t xml:space="preserve">7.3.1 Pääsynhallinnan tapahtumakirjausten valvonta - laajennettu ohjeistus  </t>
  </si>
  <si>
    <t xml:space="preserve">7.4 Pääsynhallintaan liittyvä kirjanpito ja vähimpien oikeuksien periaate </t>
  </si>
  <si>
    <t xml:space="preserve">7.5 Pääkäyttäjätunnukset </t>
  </si>
  <si>
    <t xml:space="preserve">7.6 Turvallisten todennusmenetelmien valinta ja luotettava todennus  </t>
  </si>
  <si>
    <t xml:space="preserve">8.1 Kryptografian toimintaperiaatteet ja menettelyt </t>
  </si>
  <si>
    <t xml:space="preserve">8.2 Tiedon salaustekniikat </t>
  </si>
  <si>
    <t xml:space="preserve">8.3 Salauksen elinkaari </t>
  </si>
  <si>
    <t xml:space="preserve">9.1 Poikkeamanhallinnan menettelyt  </t>
  </si>
  <si>
    <t xml:space="preserve">9.2 Poikkeamien raportointikanavat </t>
  </si>
  <si>
    <t xml:space="preserve">9.3 Tapahtumien kirjaaminen ja havainnointi </t>
  </si>
  <si>
    <t xml:space="preserve">9.4 Poikkeamien analysointi ja luokittelu  </t>
  </si>
  <si>
    <t xml:space="preserve">9.5 Poikkeaman käsittely  </t>
  </si>
  <si>
    <t xml:space="preserve">9.6 Juurisyyanalyysi ja kokemuksista oppiminen  </t>
  </si>
  <si>
    <t xml:space="preserve">9.7 Merkittävien poikkeamien lisäsuositukset </t>
  </si>
  <si>
    <t xml:space="preserve">9.8 Tiedon jakamisen turvallisuus poikkeamatilanteessa  </t>
  </si>
  <si>
    <t xml:space="preserve">9.9 Poikkeamanhallinnan elinkaaren hallinta </t>
  </si>
  <si>
    <t xml:space="preserve">10.1 Jatkuvuus- ja toipumissuunnittelu </t>
  </si>
  <si>
    <t xml:space="preserve">10.2 Varmuuskopiot ja varajärjestelmät  </t>
  </si>
  <si>
    <t xml:space="preserve">10.3 Palautustestaus ja varmuuskopioiden suojaaminen  </t>
  </si>
  <si>
    <t xml:space="preserve">10.4 Varaviestintäjärjestelmät </t>
  </si>
  <si>
    <t>11.1 Toimija on ohjeistanut perustason tietoturvakäytännöt henkilöstölle, alihankkijoille ja muille kumppaneille</t>
  </si>
  <si>
    <t>11.1.1 Ohjelma kybertietoisuuden lisäämiseksi - laajennettu ohjeistus</t>
  </si>
  <si>
    <t xml:space="preserve">11.2 Toimija on tunnistanut kriittisimmän omaisuutensa </t>
  </si>
  <si>
    <t xml:space="preserve">11.3 Toimija on suojannut viestintäverkkonsa ja tietojärjestelmänsä  </t>
  </si>
  <si>
    <t xml:space="preserve">11.4 Toimija on erottanut kriittiset ja haavoittuvat viestintäverkot ja tietojärjestelmät muista ympäristöistä </t>
  </si>
  <si>
    <t xml:space="preserve">11.5 Toimija on suojannut viestintäverkkonsa ja tietojärjestelmänsä haitallisia ja luvattomia ohjelmistoja vastaan  </t>
  </si>
  <si>
    <t xml:space="preserve">11.6 Toimija on järjestänyt tunnistautumisen sisäisiin ja ulkoisiin palveluihinsa ja laitteisiinsa turvallisesti  </t>
  </si>
  <si>
    <t xml:space="preserve">11.7 Toimija on erottanut järjestelmiensä pääkäyttäjätunnukset ja korotettujen oikeuksien tunnukset muista tunnuksista </t>
  </si>
  <si>
    <t>11.8 Toimija on varmistanut, että sen luottamuksellista tietoa käsitellään turvallisesti</t>
  </si>
  <si>
    <t xml:space="preserve">11.9 Toimija on huolehtinut, että sen järjestelmiä päivitetään säännöllisesti ja kriittiset päivitykset asennetaan viivytyksettä  </t>
  </si>
  <si>
    <t xml:space="preserve">11.10 Toimija on huolehtinut, että sen palvelut ja laitteet on turvallisesti konfiguroitu </t>
  </si>
  <si>
    <t xml:space="preserve">11.11 Toimija on huolehtinut, että sen kriittiset palvelut ja tieto-omaisuus on varmuuskopioitu </t>
  </si>
  <si>
    <t>11.12 Toimija on varautunut, miten sen toiminta voidaan ylläpitää vakavissa poikkeamissa</t>
  </si>
  <si>
    <t xml:space="preserve">11.13 Toimijalla on käytössään kriittisten toimintojen tapahtumakirjaus (loki)  </t>
  </si>
  <si>
    <t xml:space="preserve">12.1 Tilaturvallisuus ja fyysinen pääsynvalvonta  </t>
  </si>
  <si>
    <t xml:space="preserve">12.2 Suojaus fyysisiä ja ympäristön aiheuttamia uhkia vastaan  </t>
  </si>
  <si>
    <t xml:space="preserve">12.3 Toiminnalle välttämättömien resurssien jatkuvuuden varmistaminen </t>
  </si>
  <si>
    <t>1.1.1 Handlingsmodell för riskhantering – utökade anvisningar</t>
  </si>
  <si>
    <t>1.4.1 Hotanalys – utökade anvisningar</t>
  </si>
  <si>
    <t>1.6.1 Riskhanteringens effektivitet och indikatorer – utökade anvisningar</t>
  </si>
  <si>
    <t>2.1.1 Riktlinjer och förfaranden som gäller säkerheten – utökade anvisningar</t>
  </si>
  <si>
    <t>3.1.1 Säker produktutveckling – utvidgade anvisningar</t>
  </si>
  <si>
    <t>3.3.1 Systemhärdningar i kommunikationsnät och informationssystem genomförs systematiskt och i stor omfattning – utökade anvisningar</t>
  </si>
  <si>
    <t>3.4.1 Hanteringen av ändringar och uppdateringar är systematiskt – utökade anvisningar</t>
  </si>
  <si>
    <t>6.5.1 Personalutbildning – utökade anvisningar</t>
  </si>
  <si>
    <t>7.3.1 Tillsynen av händelseregistreringar över åtkomsthantering – utökade anvisningar</t>
  </si>
  <si>
    <t>10.1 Kontinuitets- och återhämtningsplanering</t>
  </si>
  <si>
    <t>10.2 Säkerhetskopior och reservsystem</t>
  </si>
  <si>
    <t>10.3 Återställningstest och skyddande av säkerhetskopior</t>
  </si>
  <si>
    <t>10.4 Reservkommunikationssystem</t>
  </si>
  <si>
    <t>11.1 Aktören har instruerat personalen, underleverantörer och andra partner om grundläggande praxis för informationssäkerhet</t>
  </si>
  <si>
    <t>11.1.1 Program för att öka cybermedvetenheten – utvidgade anvisningar</t>
  </si>
  <si>
    <t>11.2 Aktören har identifierat sina mest kritiska tillgångar</t>
  </si>
  <si>
    <t>11.3 Aktören har skyddat sina kommunikationsnät och informationssystem</t>
  </si>
  <si>
    <t>11.4 Aktören har differentierat kritiska och sårbara kommunikationsnät och informationssystem från andra miljöer</t>
  </si>
  <si>
    <t>11.5 Aktören har skyddat sina kommunikationsnät och informationssystem mot skadlig och olovlig programvara</t>
  </si>
  <si>
    <t>11.6 Aktören har ordnat identifieringen av sina interna och externa tjänster och enheter på ett säkert sätt</t>
  </si>
  <si>
    <t>11.7 Aktören har i sina system differentierat huvudanvändarnamn och användarnamn med förhöjda rättigheter från andra användarnamn</t>
  </si>
  <si>
    <t>11.8 Aktören har säkerställt att konfidentiella uppgifter behandlas på ett säkert sätt</t>
  </si>
  <si>
    <t>11.9 Aktören har sett till att systemen uppdateras regelbundet och kritiska uppdateringar installeras utan dröjsmål</t>
  </si>
  <si>
    <t>11.10 Aktören har sett till att tjänsterna och enheterna är säkert konfigurerade</t>
  </si>
  <si>
    <t>11.11 Aktören har sett till att kritiska tjänster och dataegendom är säkerhetskopierade</t>
  </si>
  <si>
    <t>11.12 Aktören har förberett sig på hur verksamheten kan upprätthållas vid allvarliga incidenter</t>
  </si>
  <si>
    <t>11.13 Aktören har i bruk registrering av händelser (logg) i fråga om kritiska funktioner</t>
  </si>
  <si>
    <t>12.1 Lokalsäkerhet och fysisk åtkomstövervakning</t>
  </si>
  <si>
    <t>12.2 Skydd mot fysiska hot och hot som miljön orsakar</t>
  </si>
  <si>
    <t>12.3 Säkerställande av kontinuiteten för resurser som är nödvändiga för verksamheten</t>
  </si>
  <si>
    <t>1.1 Handlingsmodell för hantering av cybersäkerhetsrisker</t>
  </si>
  <si>
    <t>1.2 Ett tillvägagångssätt som beaktar alla riskfaktorer</t>
  </si>
  <si>
    <t>1.3 Identifiering av behov och funktioner</t>
  </si>
  <si>
    <t>1.4 Identifiering av cyberhot</t>
  </si>
  <si>
    <t>1.5 Riskhantering</t>
  </si>
  <si>
    <t>1.6 Riskhanteringens ändamålsenlighet och indikatorer</t>
  </si>
  <si>
    <t>2.1 Riktlinjer och förfaranden som gäller säkerheten</t>
  </si>
  <si>
    <t>2.2 Engagerande av personalen</t>
  </si>
  <si>
    <t>2.3 Val av säkerhetsförfaranden</t>
  </si>
  <si>
    <t>3.1 Skydd av kommunikationsnät och informationssystem under hela livscykeln</t>
  </si>
  <si>
    <t>3.2 Säkerheten hos föremålet för upphandlingen</t>
  </si>
  <si>
    <t>3.3 Systemhärdningar</t>
  </si>
  <si>
    <t>3.4 Hantering av ändringar och uppdateringar</t>
  </si>
  <si>
    <t xml:space="preserve">3.5 Testning av säkerheten </t>
  </si>
  <si>
    <t>3.6 Behandling och offentliggörande av sårbarheter</t>
  </si>
  <si>
    <t>3.7 Säkerhet vid utveckling</t>
  </si>
  <si>
    <t>3.8 Strukturell säkerhet i kommunikationsnät</t>
  </si>
  <si>
    <t>3.9 Skydd mot skadlig trafik</t>
  </si>
  <si>
    <t>4.1 Förteckning över leverantörer och tjänsteleverantörer</t>
  </si>
  <si>
    <t>4.2 Riskhantering för leveranskedjor</t>
  </si>
  <si>
    <t>5.1 Förfaranden och anvisningar för tillgångsförvaltning</t>
  </si>
  <si>
    <t>5.2 Tillgångsförteckning och klassificering</t>
  </si>
  <si>
    <t>5.3 Användning av tillgångsförteckningen</t>
  </si>
  <si>
    <t>6.1 Förfaranden för personalsäkerheten</t>
  </si>
  <si>
    <t>6.2 Förfaringssätt för personalsäkerheten</t>
  </si>
  <si>
    <t>6.3 Sekretess och skyldigheter</t>
  </si>
  <si>
    <t>6.4 Bakgrundskontroller</t>
  </si>
  <si>
    <t>6.5 Personalutbildning</t>
  </si>
  <si>
    <t>6.6 Ledningens förtrogenhet</t>
  </si>
  <si>
    <t>7.1 Förfaranden för åtkomsthantering</t>
  </si>
  <si>
    <t>7.2 Kontinuerligt upprätthållande av åtkomsthantering och åtkomsträttigheter</t>
  </si>
  <si>
    <t>7.3 Övervakning av åtkomsthanteringen</t>
  </si>
  <si>
    <t>7.4 Dokumentering för åtkomsthantering och principen om lägsta behörighet</t>
  </si>
  <si>
    <t>7.5 Huvudanvändarnamn</t>
  </si>
  <si>
    <t>7.6 Val av säkra kontrollmetoder och tillförlitlig autentisering</t>
  </si>
  <si>
    <t>8.1 Riktlinjer och förfaranden för kryptografi</t>
  </si>
  <si>
    <t>8.2 Krypteringsteknik för information</t>
  </si>
  <si>
    <t>8.3 Krypteringens livscykel</t>
  </si>
  <si>
    <t>9.1 Förfaranden för incidenthantering:</t>
  </si>
  <si>
    <t>9.2 Rapporteringskanaler för incidenter</t>
  </si>
  <si>
    <t>9.3 Registrering och upptäckande av händelser</t>
  </si>
  <si>
    <t>9.4 Analys och klassificering av incidenter</t>
  </si>
  <si>
    <t>9.5 Hantering av en incident</t>
  </si>
  <si>
    <t>9.6 Analys av grundorsaken och lärdom av erfarenheter</t>
  </si>
  <si>
    <t>9.7 Kompletterande rekommendationer för betydande incidenter</t>
  </si>
  <si>
    <t>9.8 Säkerheten vid spridning av information i incidenter</t>
  </si>
  <si>
    <t>9.9 Hantering av incidenthanteringens livscykel</t>
  </si>
  <si>
    <t>Päivitykset:
17.3.2025: Korjattu suosituksen 8. kappaleen viittauksia, lisätty sarake IEC 62443-3-3:2013 -standardille
20.3.2025: Lisätty kieliversiot
25.3.2025: Kieliversioita päivitetty, lisätty dynaamiset viittaukset ristiinviittaustaulukkoon</t>
  </si>
  <si>
    <t>Update history:
17.3.2025: Fixed the references of chapter 8, added a column for the IEC 62443-3-3:2013 standard
20.3.2025: Added translations
25.3.2025: Updated translations, added dynamic references to the cross-reference table</t>
  </si>
  <si>
    <t>Uppdateringshistorik:
17.3.2025: Korrigerade referenserna i kapitel 8, lade till en kolumn för standarden IEC 62443-3-3:2013
20.3.2025: Lagt till översättningar
25.3.2025: Uppdaterade översättningar, dynamiska referenser tillagda i korsreferenstabellen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</si>
</sst>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Calibri"/>
      <family val="2"/>
      <scheme val="minor"/>
    </font>
    <font>
      <b/>
      <sz val="12"/>
      <color theme="0"/>
      <name val="Calibri"/>
      <family val="2"/>
      <scheme val="minor"/>
    </font>
    <font>
      <b/>
      <sz val="11"/>
      <color theme="1"/>
      <name val="Calibri"/>
      <family val="2"/>
      <scheme val="minor"/>
    </font>
    <font>
      <b/>
      <sz val="11"/>
      <name val="Calibri"/>
      <family val="2"/>
      <scheme val="minor"/>
    </font>
    <font>
      <sz val="11"/>
      <name val="Calibri"/>
      <family val="2"/>
      <scheme val="minor"/>
    </font>
    <font>
      <sz val="11"/>
      <color theme="3"/>
      <name val="Calibri"/>
      <family val="2"/>
      <scheme val="minor"/>
    </font>
    <font>
      <sz val="11"/>
      <color rgb="FF0070C0"/>
      <name val="Calibri"/>
      <family val="2"/>
      <scheme val="minor"/>
    </font>
    <font>
      <sz val="12"/>
      <name val="Calibri"/>
      <family val="2"/>
      <scheme val="minor"/>
    </font>
    <font>
      <sz val="8"/>
      <name val="Calibri"/>
      <family val="2"/>
      <scheme val="minor"/>
    </font>
    <font>
      <sz val="11"/>
      <color rgb="FF3F3F76"/>
      <name val="Calibri"/>
      <family val="2"/>
      <scheme val="minor"/>
    </font>
    <font>
      <i/>
      <sz val="11"/>
      <color rgb="FF7F7F7F"/>
      <name val="Calibri"/>
      <family val="2"/>
      <scheme val="minor"/>
    </font>
    <font>
      <b/>
      <i/>
      <sz val="11"/>
      <color rgb="FF7F7F7F"/>
      <name val="Calibri"/>
      <family val="2"/>
      <scheme val="minor"/>
    </font>
  </fonts>
  <fills count="22">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rgb="FFFFCCFF"/>
        <bgColor indexed="64"/>
      </patternFill>
    </fill>
    <fill>
      <patternFill patternType="solid">
        <fgColor rgb="FFF6D6D6"/>
        <bgColor indexed="64"/>
      </patternFill>
    </fill>
    <fill>
      <patternFill patternType="solid">
        <fgColor theme="3" tint="0.79998168889431442"/>
        <bgColor indexed="64"/>
      </patternFill>
    </fill>
    <fill>
      <patternFill patternType="solid">
        <fgColor rgb="FFD5EBDC"/>
        <bgColor indexed="64"/>
      </patternFill>
    </fill>
    <fill>
      <patternFill patternType="solid">
        <fgColor rgb="FFEDEEC0"/>
        <bgColor indexed="64"/>
      </patternFill>
    </fill>
    <fill>
      <patternFill patternType="solid">
        <fgColor rgb="FFF4E2D0"/>
        <bgColor indexed="64"/>
      </patternFill>
    </fill>
    <fill>
      <patternFill patternType="solid">
        <fgColor rgb="FFF7DDF0"/>
        <bgColor indexed="64"/>
      </patternFill>
    </fill>
    <fill>
      <patternFill patternType="solid">
        <fgColor theme="0" tint="-4.9989318521683403E-2"/>
        <bgColor indexed="64"/>
      </patternFill>
    </fill>
    <fill>
      <patternFill patternType="solid">
        <fgColor theme="4"/>
        <bgColor indexed="64"/>
      </patternFill>
    </fill>
    <fill>
      <patternFill patternType="solid">
        <fgColor theme="0"/>
        <bgColor indexed="64"/>
      </patternFill>
    </fill>
    <fill>
      <patternFill patternType="solid">
        <fgColor theme="3"/>
        <bgColor indexed="64"/>
      </patternFill>
    </fill>
    <fill>
      <patternFill patternType="solid">
        <fgColor rgb="FFDDDCFC"/>
        <bgColor indexed="64"/>
      </patternFill>
    </fill>
    <fill>
      <patternFill patternType="solid">
        <fgColor rgb="FF00B050"/>
        <bgColor indexed="64"/>
      </patternFill>
    </fill>
    <fill>
      <patternFill patternType="solid">
        <fgColor theme="5"/>
        <bgColor indexed="64"/>
      </patternFill>
    </fill>
    <fill>
      <patternFill patternType="solid">
        <fgColor rgb="FFFFCC99"/>
      </patternFill>
    </fill>
    <fill>
      <patternFill patternType="solid">
        <fgColor rgb="FF0070C0"/>
        <bgColor indexed="64"/>
      </patternFill>
    </fill>
  </fills>
  <borders count="37">
    <border>
      <left/>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style="thin">
        <color rgb="FF7F7F7F"/>
      </left>
      <right style="thin">
        <color rgb="FF7F7F7F"/>
      </right>
      <top style="thin">
        <color rgb="FF7F7F7F"/>
      </top>
      <bottom style="thin">
        <color rgb="FF7F7F7F"/>
      </bottom>
      <diagonal/>
    </border>
    <border>
      <left style="medium">
        <color indexed="64"/>
      </left>
      <right style="medium">
        <color indexed="64"/>
      </right>
      <top/>
      <bottom style="thin">
        <color indexed="64"/>
      </bottom>
      <diagonal/>
    </border>
    <border>
      <left/>
      <right/>
      <top/>
      <bottom style="thin">
        <color indexed="64"/>
      </bottom>
      <diagonal/>
    </border>
    <border>
      <left style="medium">
        <color indexed="64"/>
      </left>
      <right style="thin">
        <color indexed="64"/>
      </right>
      <top/>
      <bottom style="thin">
        <color indexed="64"/>
      </bottom>
      <diagonal/>
    </border>
    <border>
      <left/>
      <right style="medium">
        <color indexed="64"/>
      </right>
      <top/>
      <bottom/>
      <diagonal/>
    </border>
    <border>
      <left/>
      <right style="thin">
        <color indexed="64"/>
      </right>
      <top/>
      <bottom/>
      <diagonal/>
    </border>
  </borders>
  <cellStyleXfs count="3">
    <xf numFmtId="0" fontId="0" fillId="0" borderId="0"/>
    <xf numFmtId="0" fontId="9" fillId="20" borderId="31" applyNumberFormat="0" applyAlignment="0" applyProtection="0"/>
    <xf numFmtId="0" fontId="10" fillId="0" borderId="0" applyNumberFormat="0" applyFill="0" applyBorder="0" applyAlignment="0" applyProtection="0"/>
  </cellStyleXfs>
  <cellXfs count="204">
    <xf numFmtId="0" fontId="0" fillId="0" borderId="0" xfId="0"/>
    <xf numFmtId="0" fontId="0" fillId="15" borderId="0" xfId="0" applyFill="1"/>
    <xf numFmtId="0" fontId="0" fillId="3" borderId="4" xfId="0" applyFill="1" applyBorder="1" applyAlignment="1">
      <alignment horizontal="left" vertical="center" wrapText="1"/>
    </xf>
    <xf numFmtId="0" fontId="2" fillId="3" borderId="4" xfId="0" applyFont="1" applyFill="1" applyBorder="1" applyAlignment="1">
      <alignment horizontal="left" vertical="center" wrapText="1"/>
    </xf>
    <xf numFmtId="49" fontId="4" fillId="3" borderId="4" xfId="0" applyNumberFormat="1" applyFont="1" applyFill="1" applyBorder="1" applyAlignment="1">
      <alignment horizontal="left" vertical="center" wrapText="1"/>
    </xf>
    <xf numFmtId="0" fontId="4" fillId="3" borderId="4" xfId="0" applyFont="1" applyFill="1" applyBorder="1" applyAlignment="1">
      <alignment horizontal="left" vertical="center" wrapText="1"/>
    </xf>
    <xf numFmtId="0" fontId="0" fillId="4" borderId="4" xfId="0" applyFill="1" applyBorder="1" applyAlignment="1">
      <alignment horizontal="left" vertical="center" wrapText="1"/>
    </xf>
    <xf numFmtId="0" fontId="2" fillId="4" borderId="4" xfId="0" applyFont="1" applyFill="1" applyBorder="1" applyAlignment="1">
      <alignment horizontal="left" vertical="center" wrapText="1"/>
    </xf>
    <xf numFmtId="49" fontId="4" fillId="4" borderId="4" xfId="0" applyNumberFormat="1" applyFont="1" applyFill="1" applyBorder="1" applyAlignment="1">
      <alignment horizontal="left" vertical="center" wrapText="1"/>
    </xf>
    <xf numFmtId="0" fontId="4" fillId="4" borderId="4" xfId="0" applyFont="1" applyFill="1" applyBorder="1" applyAlignment="1">
      <alignment horizontal="left" vertical="center" wrapText="1"/>
    </xf>
    <xf numFmtId="0" fontId="4" fillId="4" borderId="4" xfId="0" applyFont="1" applyFill="1" applyBorder="1" applyAlignment="1">
      <alignment horizontal="left" vertical="center"/>
    </xf>
    <xf numFmtId="0" fontId="3" fillId="4" borderId="4" xfId="0" applyFont="1" applyFill="1" applyBorder="1" applyAlignment="1">
      <alignment horizontal="left" vertical="center" wrapText="1"/>
    </xf>
    <xf numFmtId="0" fontId="0" fillId="5" borderId="4" xfId="0" applyFill="1" applyBorder="1" applyAlignment="1">
      <alignment horizontal="left" vertical="center" wrapText="1"/>
    </xf>
    <xf numFmtId="0" fontId="2" fillId="5" borderId="4" xfId="0" applyFont="1" applyFill="1" applyBorder="1" applyAlignment="1">
      <alignment horizontal="left" vertical="center" wrapText="1"/>
    </xf>
    <xf numFmtId="49" fontId="4" fillId="5" borderId="4" xfId="0" applyNumberFormat="1" applyFont="1" applyFill="1" applyBorder="1" applyAlignment="1">
      <alignment horizontal="left" vertical="center" wrapText="1"/>
    </xf>
    <xf numFmtId="0" fontId="4" fillId="5" borderId="4" xfId="0" applyFont="1" applyFill="1" applyBorder="1" applyAlignment="1">
      <alignment horizontal="left" vertical="center" wrapText="1"/>
    </xf>
    <xf numFmtId="0" fontId="4" fillId="5" borderId="4" xfId="0" quotePrefix="1" applyFont="1" applyFill="1" applyBorder="1" applyAlignment="1">
      <alignment horizontal="left" vertical="center" wrapText="1"/>
    </xf>
    <xf numFmtId="0" fontId="0" fillId="6" borderId="4" xfId="0" applyFill="1" applyBorder="1" applyAlignment="1">
      <alignment horizontal="left" vertical="center" wrapText="1"/>
    </xf>
    <xf numFmtId="0" fontId="2" fillId="6" borderId="4" xfId="0" applyFont="1" applyFill="1" applyBorder="1" applyAlignment="1">
      <alignment horizontal="left" vertical="center" wrapText="1"/>
    </xf>
    <xf numFmtId="49" fontId="4" fillId="6" borderId="4" xfId="0" applyNumberFormat="1" applyFont="1" applyFill="1" applyBorder="1" applyAlignment="1">
      <alignment horizontal="left" vertical="center" wrapText="1"/>
    </xf>
    <xf numFmtId="0" fontId="4" fillId="6" borderId="4" xfId="0" applyFont="1" applyFill="1" applyBorder="1" applyAlignment="1">
      <alignment horizontal="left" vertical="center" wrapText="1"/>
    </xf>
    <xf numFmtId="0" fontId="4" fillId="6" borderId="4" xfId="0" quotePrefix="1" applyFont="1" applyFill="1" applyBorder="1" applyAlignment="1">
      <alignment horizontal="left" vertical="center" wrapText="1"/>
    </xf>
    <xf numFmtId="0" fontId="0" fillId="7" borderId="4" xfId="0" applyFill="1" applyBorder="1" applyAlignment="1">
      <alignment horizontal="left" vertical="center" wrapText="1"/>
    </xf>
    <xf numFmtId="0" fontId="2" fillId="7" borderId="4" xfId="0" applyFont="1" applyFill="1" applyBorder="1" applyAlignment="1">
      <alignment horizontal="left" vertical="center" wrapText="1"/>
    </xf>
    <xf numFmtId="49" fontId="4" fillId="7" borderId="4" xfId="0" applyNumberFormat="1" applyFont="1" applyFill="1" applyBorder="1" applyAlignment="1">
      <alignment horizontal="left" vertical="center" wrapText="1"/>
    </xf>
    <xf numFmtId="0" fontId="4" fillId="7" borderId="4" xfId="0" applyFont="1" applyFill="1" applyBorder="1" applyAlignment="1">
      <alignment horizontal="left" vertical="center" wrapText="1"/>
    </xf>
    <xf numFmtId="0" fontId="4" fillId="7" borderId="4" xfId="0" quotePrefix="1" applyFont="1" applyFill="1" applyBorder="1" applyAlignment="1">
      <alignment horizontal="left" vertical="center" wrapText="1"/>
    </xf>
    <xf numFmtId="0" fontId="0" fillId="8" borderId="4" xfId="0" applyFill="1" applyBorder="1" applyAlignment="1">
      <alignment horizontal="left" vertical="center" wrapText="1"/>
    </xf>
    <xf numFmtId="0" fontId="2" fillId="8" borderId="4" xfId="0" applyFont="1" applyFill="1" applyBorder="1" applyAlignment="1">
      <alignment horizontal="left" vertical="center" wrapText="1"/>
    </xf>
    <xf numFmtId="49" fontId="4" fillId="8" borderId="4" xfId="0" applyNumberFormat="1" applyFont="1" applyFill="1" applyBorder="1" applyAlignment="1">
      <alignment horizontal="left" vertical="center" wrapText="1"/>
    </xf>
    <xf numFmtId="0" fontId="4" fillId="8" borderId="4" xfId="0" applyFont="1" applyFill="1" applyBorder="1" applyAlignment="1">
      <alignment horizontal="left" vertical="center" wrapText="1"/>
    </xf>
    <xf numFmtId="0" fontId="0" fillId="9" borderId="4" xfId="0" applyFill="1" applyBorder="1" applyAlignment="1">
      <alignment horizontal="left" vertical="center" wrapText="1"/>
    </xf>
    <xf numFmtId="0" fontId="2" fillId="9" borderId="4" xfId="0" applyFont="1" applyFill="1" applyBorder="1" applyAlignment="1">
      <alignment horizontal="left" vertical="center" wrapText="1"/>
    </xf>
    <xf numFmtId="49" fontId="4" fillId="9" borderId="4" xfId="0" applyNumberFormat="1" applyFont="1" applyFill="1" applyBorder="1" applyAlignment="1">
      <alignment horizontal="left" vertical="center" wrapText="1"/>
    </xf>
    <xf numFmtId="0" fontId="4" fillId="9" borderId="4" xfId="0" applyFont="1" applyFill="1" applyBorder="1" applyAlignment="1">
      <alignment horizontal="left" vertical="center" wrapText="1"/>
    </xf>
    <xf numFmtId="0" fontId="0" fillId="10" borderId="4" xfId="0" applyFill="1" applyBorder="1" applyAlignment="1">
      <alignment horizontal="left" vertical="center" wrapText="1"/>
    </xf>
    <xf numFmtId="0" fontId="2" fillId="10" borderId="4" xfId="0" applyFont="1" applyFill="1" applyBorder="1" applyAlignment="1">
      <alignment horizontal="left" vertical="center" wrapText="1"/>
    </xf>
    <xf numFmtId="49" fontId="4" fillId="10" borderId="4" xfId="0" applyNumberFormat="1" applyFont="1" applyFill="1" applyBorder="1" applyAlignment="1">
      <alignment horizontal="left" vertical="center" wrapText="1"/>
    </xf>
    <xf numFmtId="0" fontId="4" fillId="10" borderId="4" xfId="0" applyFont="1" applyFill="1" applyBorder="1" applyAlignment="1">
      <alignment horizontal="left" vertical="center" wrapText="1"/>
    </xf>
    <xf numFmtId="0" fontId="4" fillId="10" borderId="4" xfId="0" quotePrefix="1" applyFont="1" applyFill="1" applyBorder="1" applyAlignment="1">
      <alignment horizontal="left" vertical="center" wrapText="1"/>
    </xf>
    <xf numFmtId="16" fontId="4" fillId="10" borderId="4" xfId="0" quotePrefix="1" applyNumberFormat="1" applyFont="1" applyFill="1" applyBorder="1" applyAlignment="1">
      <alignment horizontal="left" vertical="center" wrapText="1"/>
    </xf>
    <xf numFmtId="14" fontId="4" fillId="10" borderId="4" xfId="0" quotePrefix="1" applyNumberFormat="1" applyFont="1" applyFill="1" applyBorder="1" applyAlignment="1">
      <alignment horizontal="left" vertical="center" wrapText="1"/>
    </xf>
    <xf numFmtId="0" fontId="0" fillId="11" borderId="4" xfId="0" applyFill="1" applyBorder="1" applyAlignment="1">
      <alignment horizontal="left" vertical="center" wrapText="1"/>
    </xf>
    <xf numFmtId="0" fontId="2" fillId="11" borderId="4" xfId="0" applyFont="1" applyFill="1" applyBorder="1" applyAlignment="1">
      <alignment horizontal="left" vertical="center" wrapText="1"/>
    </xf>
    <xf numFmtId="49" fontId="4" fillId="11" borderId="4" xfId="0" applyNumberFormat="1" applyFont="1" applyFill="1" applyBorder="1" applyAlignment="1">
      <alignment horizontal="left" vertical="center" wrapText="1"/>
    </xf>
    <xf numFmtId="0" fontId="4" fillId="11" borderId="4" xfId="0" applyFont="1" applyFill="1" applyBorder="1" applyAlignment="1">
      <alignment horizontal="left" vertical="center" wrapText="1"/>
    </xf>
    <xf numFmtId="0" fontId="0" fillId="12" borderId="4" xfId="0" applyFill="1" applyBorder="1" applyAlignment="1">
      <alignment horizontal="left" vertical="center" wrapText="1"/>
    </xf>
    <xf numFmtId="0" fontId="2" fillId="12" borderId="4" xfId="0" applyFont="1" applyFill="1" applyBorder="1" applyAlignment="1">
      <alignment horizontal="left" vertical="center" wrapText="1"/>
    </xf>
    <xf numFmtId="49" fontId="4" fillId="12" borderId="4" xfId="0" applyNumberFormat="1" applyFont="1" applyFill="1" applyBorder="1" applyAlignment="1">
      <alignment horizontal="left" vertical="center" wrapText="1"/>
    </xf>
    <xf numFmtId="0" fontId="4" fillId="12" borderId="4" xfId="0" applyFont="1" applyFill="1" applyBorder="1" applyAlignment="1">
      <alignment horizontal="left" vertical="center" wrapText="1"/>
    </xf>
    <xf numFmtId="0" fontId="0" fillId="13" borderId="4" xfId="0" applyFill="1" applyBorder="1" applyAlignment="1">
      <alignment horizontal="left" vertical="center" wrapText="1"/>
    </xf>
    <xf numFmtId="0" fontId="2" fillId="13" borderId="4" xfId="0" applyFont="1" applyFill="1" applyBorder="1" applyAlignment="1">
      <alignment horizontal="left" vertical="center" wrapText="1"/>
    </xf>
    <xf numFmtId="49" fontId="4" fillId="13" borderId="4" xfId="0" applyNumberFormat="1" applyFont="1" applyFill="1" applyBorder="1" applyAlignment="1">
      <alignment horizontal="left" vertical="center" wrapText="1"/>
    </xf>
    <xf numFmtId="0" fontId="4" fillId="13" borderId="4" xfId="0" applyFont="1" applyFill="1" applyBorder="1" applyAlignment="1">
      <alignment horizontal="left" vertical="center" wrapText="1"/>
    </xf>
    <xf numFmtId="0" fontId="5" fillId="16" borderId="0" xfId="0" applyFont="1" applyFill="1"/>
    <xf numFmtId="0" fontId="4" fillId="3" borderId="11" xfId="0" applyFont="1" applyFill="1" applyBorder="1" applyAlignment="1">
      <alignment horizontal="left" vertical="center" wrapText="1"/>
    </xf>
    <xf numFmtId="0" fontId="4" fillId="4" borderId="11" xfId="0" applyFont="1" applyFill="1" applyBorder="1" applyAlignment="1">
      <alignment horizontal="left" vertical="center" wrapText="1"/>
    </xf>
    <xf numFmtId="0" fontId="4" fillId="5" borderId="11" xfId="0" applyFont="1" applyFill="1" applyBorder="1" applyAlignment="1">
      <alignment horizontal="left" vertical="center" wrapText="1"/>
    </xf>
    <xf numFmtId="0" fontId="4" fillId="6" borderId="11" xfId="0" applyFont="1" applyFill="1" applyBorder="1" applyAlignment="1">
      <alignment horizontal="left" vertical="center" wrapText="1"/>
    </xf>
    <xf numFmtId="0" fontId="4" fillId="7" borderId="11" xfId="0" applyFont="1" applyFill="1" applyBorder="1" applyAlignment="1">
      <alignment horizontal="left" vertical="center" wrapText="1"/>
    </xf>
    <xf numFmtId="0" fontId="4" fillId="8" borderId="11" xfId="0" applyFont="1" applyFill="1" applyBorder="1" applyAlignment="1">
      <alignment horizontal="left" vertical="center" wrapText="1"/>
    </xf>
    <xf numFmtId="0" fontId="4" fillId="9" borderId="11" xfId="0" applyFont="1" applyFill="1" applyBorder="1" applyAlignment="1">
      <alignment horizontal="left" vertical="center" wrapText="1"/>
    </xf>
    <xf numFmtId="0" fontId="4" fillId="10" borderId="11" xfId="0" applyFont="1" applyFill="1" applyBorder="1" applyAlignment="1">
      <alignment horizontal="left" vertical="center" wrapText="1"/>
    </xf>
    <xf numFmtId="0" fontId="4" fillId="11" borderId="11" xfId="0" applyFont="1" applyFill="1" applyBorder="1" applyAlignment="1">
      <alignment horizontal="left" vertical="center" wrapText="1"/>
    </xf>
    <xf numFmtId="0" fontId="4" fillId="12" borderId="11" xfId="0" applyFont="1" applyFill="1" applyBorder="1" applyAlignment="1">
      <alignment horizontal="left" vertical="center" wrapText="1"/>
    </xf>
    <xf numFmtId="0" fontId="4" fillId="13" borderId="11" xfId="0" applyFont="1" applyFill="1" applyBorder="1" applyAlignment="1">
      <alignment horizontal="left" vertical="center" wrapText="1"/>
    </xf>
    <xf numFmtId="0" fontId="0" fillId="13" borderId="13" xfId="0" applyFill="1" applyBorder="1" applyAlignment="1">
      <alignment horizontal="left" vertical="center" wrapText="1"/>
    </xf>
    <xf numFmtId="0" fontId="2" fillId="13" borderId="13" xfId="0" applyFont="1" applyFill="1" applyBorder="1" applyAlignment="1">
      <alignment horizontal="left" vertical="center" wrapText="1"/>
    </xf>
    <xf numFmtId="49" fontId="4" fillId="13" borderId="13" xfId="0" applyNumberFormat="1" applyFont="1" applyFill="1" applyBorder="1" applyAlignment="1">
      <alignment horizontal="left" vertical="center" wrapText="1"/>
    </xf>
    <xf numFmtId="0" fontId="4" fillId="13" borderId="13" xfId="0" applyFont="1" applyFill="1" applyBorder="1" applyAlignment="1">
      <alignment horizontal="left" vertical="center" wrapText="1"/>
    </xf>
    <xf numFmtId="0" fontId="4" fillId="13" borderId="14" xfId="0" applyFont="1" applyFill="1" applyBorder="1" applyAlignment="1">
      <alignment horizontal="left" vertical="center" wrapText="1"/>
    </xf>
    <xf numFmtId="0" fontId="0" fillId="16" borderId="0" xfId="0" applyFill="1"/>
    <xf numFmtId="0" fontId="0" fillId="17" borderId="4" xfId="0" applyFill="1" applyBorder="1" applyAlignment="1">
      <alignment horizontal="left" vertical="center" wrapText="1"/>
    </xf>
    <xf numFmtId="0" fontId="2" fillId="17" borderId="4" xfId="0" applyFont="1" applyFill="1" applyBorder="1" applyAlignment="1">
      <alignment horizontal="left" vertical="center" wrapText="1"/>
    </xf>
    <xf numFmtId="49" fontId="4" fillId="17" borderId="4" xfId="0" applyNumberFormat="1" applyFont="1" applyFill="1" applyBorder="1" applyAlignment="1">
      <alignment horizontal="left" vertical="center" wrapText="1"/>
    </xf>
    <xf numFmtId="0" fontId="4" fillId="17" borderId="4" xfId="0" applyFont="1" applyFill="1" applyBorder="1" applyAlignment="1">
      <alignment horizontal="left" vertical="center" wrapText="1"/>
    </xf>
    <xf numFmtId="0" fontId="4" fillId="17" borderId="11" xfId="0" applyFont="1" applyFill="1" applyBorder="1" applyAlignment="1">
      <alignment horizontal="left" vertical="center" wrapText="1"/>
    </xf>
    <xf numFmtId="0" fontId="4" fillId="17" borderId="4" xfId="0" quotePrefix="1" applyFont="1" applyFill="1" applyBorder="1" applyAlignment="1">
      <alignment horizontal="left" vertical="center" wrapText="1"/>
    </xf>
    <xf numFmtId="0" fontId="0" fillId="17" borderId="10" xfId="0" applyFill="1" applyBorder="1" applyAlignment="1">
      <alignment horizontal="left" vertical="center" wrapText="1"/>
    </xf>
    <xf numFmtId="0" fontId="0" fillId="17" borderId="7" xfId="0" applyFill="1" applyBorder="1" applyAlignment="1">
      <alignment horizontal="left" vertical="center" wrapText="1"/>
    </xf>
    <xf numFmtId="0" fontId="0" fillId="17" borderId="11" xfId="0" applyFill="1" applyBorder="1" applyAlignment="1">
      <alignment horizontal="left" vertical="center" wrapText="1"/>
    </xf>
    <xf numFmtId="0" fontId="0" fillId="3" borderId="7" xfId="0" applyFill="1" applyBorder="1" applyAlignment="1">
      <alignment horizontal="left" vertical="center" wrapText="1"/>
    </xf>
    <xf numFmtId="0" fontId="0" fillId="3" borderId="11" xfId="0" applyFill="1" applyBorder="1" applyAlignment="1">
      <alignment horizontal="left" vertical="center" wrapText="1"/>
    </xf>
    <xf numFmtId="0" fontId="0" fillId="4" borderId="7" xfId="0" applyFill="1" applyBorder="1" applyAlignment="1">
      <alignment horizontal="left" vertical="center" wrapText="1"/>
    </xf>
    <xf numFmtId="0" fontId="0" fillId="4" borderId="11" xfId="0" applyFill="1" applyBorder="1" applyAlignment="1">
      <alignment horizontal="left" vertical="center" wrapText="1"/>
    </xf>
    <xf numFmtId="0" fontId="4" fillId="4" borderId="7" xfId="0" applyFont="1" applyFill="1" applyBorder="1" applyAlignment="1">
      <alignment horizontal="left" vertical="center" wrapText="1"/>
    </xf>
    <xf numFmtId="0" fontId="0" fillId="5" borderId="7" xfId="0" applyFill="1" applyBorder="1" applyAlignment="1">
      <alignment horizontal="left" vertical="center" wrapText="1"/>
    </xf>
    <xf numFmtId="0" fontId="0" fillId="5" borderId="11" xfId="0" applyFill="1" applyBorder="1" applyAlignment="1">
      <alignment horizontal="left" vertical="center" wrapText="1"/>
    </xf>
    <xf numFmtId="0" fontId="0" fillId="6" borderId="7" xfId="0" applyFill="1" applyBorder="1" applyAlignment="1">
      <alignment horizontal="left" vertical="center" wrapText="1"/>
    </xf>
    <xf numFmtId="0" fontId="0" fillId="6" borderId="11" xfId="0" applyFill="1" applyBorder="1" applyAlignment="1">
      <alignment horizontal="left" vertical="center" wrapText="1"/>
    </xf>
    <xf numFmtId="0" fontId="0" fillId="7" borderId="7" xfId="0" applyFill="1" applyBorder="1" applyAlignment="1">
      <alignment horizontal="left" vertical="center" wrapText="1"/>
    </xf>
    <xf numFmtId="0" fontId="0" fillId="7" borderId="11" xfId="0" applyFill="1" applyBorder="1" applyAlignment="1">
      <alignment horizontal="left" vertical="center" wrapText="1"/>
    </xf>
    <xf numFmtId="0" fontId="0" fillId="8" borderId="7" xfId="0" applyFill="1" applyBorder="1" applyAlignment="1">
      <alignment horizontal="left" vertical="center" wrapText="1"/>
    </xf>
    <xf numFmtId="0" fontId="0" fillId="8" borderId="11" xfId="0" applyFill="1" applyBorder="1" applyAlignment="1">
      <alignment horizontal="left" vertical="center" wrapText="1"/>
    </xf>
    <xf numFmtId="0" fontId="0" fillId="9" borderId="7" xfId="0" applyFill="1" applyBorder="1" applyAlignment="1">
      <alignment horizontal="left" vertical="center" wrapText="1"/>
    </xf>
    <xf numFmtId="0" fontId="0" fillId="9" borderId="11" xfId="0" applyFill="1" applyBorder="1" applyAlignment="1">
      <alignment horizontal="left" vertical="center" wrapText="1"/>
    </xf>
    <xf numFmtId="0" fontId="0" fillId="10" borderId="7" xfId="0" applyFill="1" applyBorder="1" applyAlignment="1">
      <alignment horizontal="left" vertical="center" wrapText="1"/>
    </xf>
    <xf numFmtId="0" fontId="0" fillId="10" borderId="11" xfId="0" applyFill="1" applyBorder="1" applyAlignment="1">
      <alignment horizontal="left" vertical="center" wrapText="1"/>
    </xf>
    <xf numFmtId="0" fontId="0" fillId="11" borderId="7" xfId="0" applyFill="1" applyBorder="1" applyAlignment="1">
      <alignment horizontal="left" vertical="center" wrapText="1"/>
    </xf>
    <xf numFmtId="0" fontId="0" fillId="11" borderId="11" xfId="0" applyFill="1" applyBorder="1" applyAlignment="1">
      <alignment horizontal="left" vertical="center" wrapText="1"/>
    </xf>
    <xf numFmtId="0" fontId="0" fillId="12" borderId="7" xfId="0" applyFill="1" applyBorder="1" applyAlignment="1">
      <alignment horizontal="left" vertical="center" wrapText="1"/>
    </xf>
    <xf numFmtId="0" fontId="0" fillId="12" borderId="11" xfId="0" applyFill="1" applyBorder="1" applyAlignment="1">
      <alignment horizontal="left" vertical="center" wrapText="1"/>
    </xf>
    <xf numFmtId="0" fontId="0" fillId="13" borderId="7" xfId="0" applyFill="1" applyBorder="1" applyAlignment="1">
      <alignment horizontal="left" vertical="center" wrapText="1"/>
    </xf>
    <xf numFmtId="0" fontId="0" fillId="13" borderId="11" xfId="0" applyFill="1" applyBorder="1" applyAlignment="1">
      <alignment horizontal="left" vertical="center" wrapText="1"/>
    </xf>
    <xf numFmtId="0" fontId="0" fillId="13" borderId="12" xfId="0" applyFill="1" applyBorder="1" applyAlignment="1">
      <alignment horizontal="left" vertical="center" wrapText="1"/>
    </xf>
    <xf numFmtId="0" fontId="0" fillId="13" borderId="14" xfId="0" applyFill="1" applyBorder="1" applyAlignment="1">
      <alignment horizontal="left" vertical="center" wrapText="1"/>
    </xf>
    <xf numFmtId="0" fontId="0" fillId="17" borderId="7" xfId="0" applyFont="1" applyFill="1" applyBorder="1" applyAlignment="1">
      <alignment horizontal="left" vertical="center" wrapText="1"/>
    </xf>
    <xf numFmtId="0" fontId="0" fillId="3" borderId="7" xfId="0" applyFont="1" applyFill="1" applyBorder="1" applyAlignment="1">
      <alignment horizontal="left" vertical="center" wrapText="1"/>
    </xf>
    <xf numFmtId="0" fontId="0" fillId="4" borderId="7" xfId="0" applyFont="1" applyFill="1" applyBorder="1" applyAlignment="1">
      <alignment horizontal="left" vertical="center" wrapText="1"/>
    </xf>
    <xf numFmtId="0" fontId="0" fillId="5" borderId="7" xfId="0" applyFont="1" applyFill="1" applyBorder="1" applyAlignment="1">
      <alignment horizontal="left" vertical="center" wrapText="1"/>
    </xf>
    <xf numFmtId="0" fontId="0" fillId="6" borderId="7" xfId="0" applyFont="1" applyFill="1" applyBorder="1" applyAlignment="1">
      <alignment horizontal="left" vertical="center" wrapText="1"/>
    </xf>
    <xf numFmtId="0" fontId="0" fillId="7" borderId="7" xfId="0" applyFont="1" applyFill="1" applyBorder="1" applyAlignment="1">
      <alignment horizontal="left" vertical="center" wrapText="1"/>
    </xf>
    <xf numFmtId="0" fontId="0" fillId="8" borderId="7" xfId="0" applyFont="1" applyFill="1" applyBorder="1" applyAlignment="1">
      <alignment horizontal="left" vertical="center" wrapText="1"/>
    </xf>
    <xf numFmtId="0" fontId="0" fillId="9" borderId="7" xfId="0" applyFont="1" applyFill="1" applyBorder="1" applyAlignment="1">
      <alignment horizontal="left" vertical="center" wrapText="1"/>
    </xf>
    <xf numFmtId="0" fontId="0" fillId="10" borderId="7" xfId="0" applyFont="1" applyFill="1" applyBorder="1" applyAlignment="1">
      <alignment horizontal="left" vertical="center" wrapText="1"/>
    </xf>
    <xf numFmtId="0" fontId="0" fillId="11" borderId="7" xfId="0" applyFont="1" applyFill="1" applyBorder="1" applyAlignment="1">
      <alignment horizontal="left" vertical="center" wrapText="1"/>
    </xf>
    <xf numFmtId="0" fontId="0" fillId="12" borderId="7" xfId="0" applyFont="1" applyFill="1" applyBorder="1" applyAlignment="1">
      <alignment horizontal="left" vertical="center" wrapText="1"/>
    </xf>
    <xf numFmtId="0" fontId="0" fillId="13" borderId="7" xfId="0" applyFont="1" applyFill="1" applyBorder="1" applyAlignment="1">
      <alignment horizontal="left" vertical="center" wrapText="1"/>
    </xf>
    <xf numFmtId="0" fontId="0" fillId="13" borderId="12" xfId="0" applyFont="1" applyFill="1" applyBorder="1" applyAlignment="1">
      <alignment horizontal="left" vertical="center" wrapText="1"/>
    </xf>
    <xf numFmtId="0" fontId="0" fillId="2" borderId="6" xfId="0" applyFill="1" applyBorder="1" applyAlignment="1">
      <alignment horizontal="center" vertical="center"/>
    </xf>
    <xf numFmtId="0" fontId="0" fillId="2" borderId="17" xfId="0" applyFill="1" applyBorder="1" applyAlignment="1">
      <alignment horizontal="center" vertical="center"/>
    </xf>
    <xf numFmtId="0" fontId="1" fillId="14" borderId="9" xfId="0" applyFont="1" applyFill="1" applyBorder="1" applyAlignment="1">
      <alignment horizontal="center" vertical="center" wrapText="1"/>
    </xf>
    <xf numFmtId="0" fontId="1" fillId="18" borderId="18" xfId="0" applyFont="1" applyFill="1" applyBorder="1" applyAlignment="1">
      <alignment horizontal="center" vertical="center" wrapText="1"/>
    </xf>
    <xf numFmtId="0" fontId="1" fillId="18" borderId="19" xfId="0" applyFont="1" applyFill="1" applyBorder="1" applyAlignment="1">
      <alignment horizontal="center" vertical="center" wrapText="1"/>
    </xf>
    <xf numFmtId="49" fontId="4" fillId="17" borderId="2" xfId="0" applyNumberFormat="1" applyFont="1" applyFill="1" applyBorder="1" applyAlignment="1">
      <alignment horizontal="left" vertical="center" wrapText="1"/>
    </xf>
    <xf numFmtId="0" fontId="4" fillId="17" borderId="2" xfId="0" applyFont="1" applyFill="1" applyBorder="1" applyAlignment="1">
      <alignment horizontal="left" vertical="center" wrapText="1"/>
    </xf>
    <xf numFmtId="49" fontId="1" fillId="19" borderId="19" xfId="0" applyNumberFormat="1" applyFont="1" applyFill="1" applyBorder="1" applyAlignment="1">
      <alignment horizontal="center" vertical="center" wrapText="1"/>
    </xf>
    <xf numFmtId="0" fontId="1" fillId="19" borderId="19" xfId="0" applyFont="1" applyFill="1" applyBorder="1" applyAlignment="1">
      <alignment horizontal="center" vertical="center" wrapText="1"/>
    </xf>
    <xf numFmtId="0" fontId="1" fillId="19" borderId="20" xfId="0" applyFont="1" applyFill="1" applyBorder="1" applyAlignment="1">
      <alignment horizontal="center" vertical="center" wrapText="1"/>
    </xf>
    <xf numFmtId="0" fontId="0" fillId="16" borderId="0" xfId="0" applyFill="1" applyBorder="1"/>
    <xf numFmtId="0" fontId="4" fillId="4" borderId="11" xfId="0" quotePrefix="1" applyFont="1" applyFill="1" applyBorder="1" applyAlignment="1">
      <alignment horizontal="left" vertical="center" wrapText="1"/>
    </xf>
    <xf numFmtId="0" fontId="4" fillId="7" borderId="11" xfId="0" quotePrefix="1" applyFont="1" applyFill="1" applyBorder="1" applyAlignment="1">
      <alignment horizontal="left" vertical="center" wrapText="1"/>
    </xf>
    <xf numFmtId="0" fontId="1" fillId="19" borderId="28" xfId="0" applyFont="1" applyFill="1" applyBorder="1" applyAlignment="1">
      <alignment horizontal="center" vertical="center" wrapText="1"/>
    </xf>
    <xf numFmtId="0" fontId="0" fillId="17" borderId="21" xfId="0" applyFont="1" applyFill="1" applyBorder="1" applyAlignment="1">
      <alignment horizontal="left" vertical="center" wrapText="1"/>
    </xf>
    <xf numFmtId="0" fontId="0" fillId="17" borderId="5" xfId="0" applyFont="1" applyFill="1" applyBorder="1" applyAlignment="1">
      <alignment horizontal="left" vertical="center" wrapText="1"/>
    </xf>
    <xf numFmtId="0" fontId="0" fillId="3" borderId="5" xfId="0" applyFont="1" applyFill="1" applyBorder="1" applyAlignment="1">
      <alignment horizontal="left" vertical="center" wrapText="1"/>
    </xf>
    <xf numFmtId="0" fontId="0" fillId="4" borderId="5" xfId="0" applyFont="1" applyFill="1" applyBorder="1" applyAlignment="1">
      <alignment horizontal="left" vertical="center" wrapText="1"/>
    </xf>
    <xf numFmtId="0" fontId="4" fillId="4" borderId="5" xfId="0" applyFont="1" applyFill="1" applyBorder="1" applyAlignment="1">
      <alignment horizontal="left" vertical="center" wrapText="1"/>
    </xf>
    <xf numFmtId="0" fontId="0" fillId="5" borderId="5" xfId="0" applyFont="1" applyFill="1" applyBorder="1" applyAlignment="1">
      <alignment horizontal="left" vertical="center" wrapText="1"/>
    </xf>
    <xf numFmtId="0" fontId="0" fillId="6" borderId="5" xfId="0" applyFont="1" applyFill="1" applyBorder="1" applyAlignment="1">
      <alignment horizontal="left" vertical="center" wrapText="1"/>
    </xf>
    <xf numFmtId="0" fontId="0" fillId="7" borderId="5" xfId="0" applyFont="1" applyFill="1" applyBorder="1" applyAlignment="1">
      <alignment horizontal="left" vertical="center" wrapText="1"/>
    </xf>
    <xf numFmtId="0" fontId="0" fillId="8" borderId="5" xfId="0" applyFont="1" applyFill="1" applyBorder="1" applyAlignment="1">
      <alignment horizontal="left" vertical="center" wrapText="1"/>
    </xf>
    <xf numFmtId="0" fontId="0" fillId="9" borderId="5" xfId="0" applyFont="1" applyFill="1" applyBorder="1" applyAlignment="1">
      <alignment horizontal="left" vertical="center" wrapText="1"/>
    </xf>
    <xf numFmtId="0" fontId="0" fillId="10" borderId="5" xfId="0" applyFont="1" applyFill="1" applyBorder="1" applyAlignment="1">
      <alignment horizontal="left" vertical="center" wrapText="1"/>
    </xf>
    <xf numFmtId="0" fontId="0" fillId="11" borderId="5" xfId="0" applyFont="1" applyFill="1" applyBorder="1" applyAlignment="1">
      <alignment horizontal="left" vertical="center" wrapText="1"/>
    </xf>
    <xf numFmtId="0" fontId="0" fillId="12" borderId="5" xfId="0" applyFont="1" applyFill="1" applyBorder="1" applyAlignment="1">
      <alignment horizontal="left" vertical="center" wrapText="1"/>
    </xf>
    <xf numFmtId="0" fontId="0" fillId="13" borderId="5" xfId="0" applyFont="1" applyFill="1" applyBorder="1" applyAlignment="1">
      <alignment horizontal="left" vertical="center" wrapText="1"/>
    </xf>
    <xf numFmtId="0" fontId="0" fillId="13" borderId="15" xfId="0" applyFont="1" applyFill="1" applyBorder="1" applyAlignment="1">
      <alignment horizontal="left" vertical="center" wrapText="1"/>
    </xf>
    <xf numFmtId="0" fontId="2" fillId="17" borderId="3" xfId="0" applyFont="1" applyFill="1" applyBorder="1" applyAlignment="1">
      <alignment horizontal="center" vertical="center"/>
    </xf>
    <xf numFmtId="0" fontId="2" fillId="3" borderId="3" xfId="0" applyFont="1" applyFill="1" applyBorder="1" applyAlignment="1">
      <alignment horizontal="center" vertical="center"/>
    </xf>
    <xf numFmtId="0" fontId="2" fillId="4" borderId="3" xfId="0" applyFont="1" applyFill="1" applyBorder="1" applyAlignment="1">
      <alignment horizontal="center" vertical="center"/>
    </xf>
    <xf numFmtId="0" fontId="3" fillId="4" borderId="3" xfId="0" applyFont="1" applyFill="1" applyBorder="1" applyAlignment="1">
      <alignment horizontal="center" vertical="center"/>
    </xf>
    <xf numFmtId="0" fontId="2" fillId="5" borderId="3" xfId="0" applyFont="1" applyFill="1" applyBorder="1" applyAlignment="1">
      <alignment horizontal="center" vertical="center"/>
    </xf>
    <xf numFmtId="0" fontId="2" fillId="6" borderId="3" xfId="0" applyFont="1" applyFill="1" applyBorder="1" applyAlignment="1">
      <alignment horizontal="center" vertical="center"/>
    </xf>
    <xf numFmtId="0" fontId="2" fillId="7" borderId="3" xfId="0" applyFont="1" applyFill="1" applyBorder="1" applyAlignment="1">
      <alignment horizontal="center" vertical="center"/>
    </xf>
    <xf numFmtId="0" fontId="2" fillId="8" borderId="3" xfId="0" applyFont="1" applyFill="1" applyBorder="1" applyAlignment="1">
      <alignment horizontal="center" vertical="center"/>
    </xf>
    <xf numFmtId="0" fontId="2" fillId="8" borderId="3" xfId="0" applyFont="1" applyFill="1" applyBorder="1" applyAlignment="1">
      <alignment horizontal="center" vertical="center" wrapText="1"/>
    </xf>
    <xf numFmtId="0" fontId="2" fillId="9" borderId="3" xfId="0" applyFont="1" applyFill="1" applyBorder="1" applyAlignment="1">
      <alignment horizontal="center" vertical="center"/>
    </xf>
    <xf numFmtId="0" fontId="2" fillId="10" borderId="3" xfId="0" applyFont="1" applyFill="1" applyBorder="1" applyAlignment="1">
      <alignment horizontal="center" vertical="center"/>
    </xf>
    <xf numFmtId="0" fontId="2" fillId="11" borderId="3" xfId="0" applyFont="1" applyFill="1" applyBorder="1" applyAlignment="1">
      <alignment horizontal="center" vertical="center"/>
    </xf>
    <xf numFmtId="0" fontId="2" fillId="12" borderId="3" xfId="0" applyFont="1" applyFill="1" applyBorder="1" applyAlignment="1">
      <alignment horizontal="center" vertical="center"/>
    </xf>
    <xf numFmtId="0" fontId="2" fillId="13" borderId="3" xfId="0" applyFont="1" applyFill="1" applyBorder="1" applyAlignment="1">
      <alignment horizontal="center" vertical="center"/>
    </xf>
    <xf numFmtId="0" fontId="2" fillId="13" borderId="16" xfId="0" applyFont="1" applyFill="1" applyBorder="1" applyAlignment="1">
      <alignment horizontal="center" vertical="center"/>
    </xf>
    <xf numFmtId="0" fontId="4" fillId="4" borderId="4" xfId="0" quotePrefix="1" applyFont="1" applyFill="1" applyBorder="1" applyAlignment="1">
      <alignment horizontal="left" vertical="center" wrapText="1"/>
    </xf>
    <xf numFmtId="0" fontId="0" fillId="16" borderId="26" xfId="0" applyFill="1" applyBorder="1"/>
    <xf numFmtId="0" fontId="4" fillId="17" borderId="29" xfId="0" applyFont="1" applyFill="1" applyBorder="1" applyAlignment="1">
      <alignment horizontal="left" vertical="center" wrapText="1"/>
    </xf>
    <xf numFmtId="0" fontId="1" fillId="19" borderId="30" xfId="0" applyFont="1" applyFill="1" applyBorder="1" applyAlignment="1">
      <alignment horizontal="center" vertical="center" wrapText="1"/>
    </xf>
    <xf numFmtId="0" fontId="9" fillId="20" borderId="31" xfId="1"/>
    <xf numFmtId="0" fontId="2" fillId="0" borderId="4" xfId="0" applyFont="1" applyBorder="1"/>
    <xf numFmtId="0" fontId="0" fillId="0" borderId="4" xfId="0" applyBorder="1" applyAlignment="1">
      <alignment wrapText="1"/>
    </xf>
    <xf numFmtId="0" fontId="0" fillId="15" borderId="4" xfId="0" applyFill="1" applyBorder="1" applyAlignment="1">
      <alignment vertical="top" wrapText="1"/>
    </xf>
    <xf numFmtId="0" fontId="2" fillId="0" borderId="8" xfId="0" applyFont="1" applyBorder="1"/>
    <xf numFmtId="0" fontId="0" fillId="0" borderId="8" xfId="0" applyBorder="1" applyAlignment="1">
      <alignment wrapText="1"/>
    </xf>
    <xf numFmtId="0" fontId="2" fillId="0" borderId="4" xfId="0" applyFont="1" applyFill="1" applyBorder="1"/>
    <xf numFmtId="0" fontId="0" fillId="0" borderId="4" xfId="0" applyFill="1" applyBorder="1" applyAlignment="1">
      <alignment wrapText="1"/>
    </xf>
    <xf numFmtId="0" fontId="0" fillId="0" borderId="4" xfId="0" applyBorder="1"/>
    <xf numFmtId="0" fontId="0" fillId="2" borderId="32" xfId="0" applyFill="1" applyBorder="1" applyAlignment="1">
      <alignment horizontal="center" vertical="center"/>
    </xf>
    <xf numFmtId="0" fontId="2" fillId="17" borderId="33" xfId="0" applyFont="1" applyFill="1" applyBorder="1" applyAlignment="1">
      <alignment horizontal="center" vertical="center"/>
    </xf>
    <xf numFmtId="0" fontId="0" fillId="17" borderId="34" xfId="0" applyFill="1" applyBorder="1" applyAlignment="1">
      <alignment horizontal="left" vertical="center" wrapText="1"/>
    </xf>
    <xf numFmtId="0" fontId="0" fillId="17" borderId="2" xfId="0" applyFill="1" applyBorder="1" applyAlignment="1">
      <alignment horizontal="left" vertical="center" wrapText="1"/>
    </xf>
    <xf numFmtId="0" fontId="0" fillId="17" borderId="29" xfId="0" applyFill="1" applyBorder="1" applyAlignment="1">
      <alignment horizontal="left" vertical="center" wrapText="1"/>
    </xf>
    <xf numFmtId="0" fontId="0" fillId="17" borderId="34" xfId="0" applyFont="1" applyFill="1" applyBorder="1" applyAlignment="1">
      <alignment horizontal="left" vertical="center" wrapText="1"/>
    </xf>
    <xf numFmtId="0" fontId="2" fillId="17" borderId="2" xfId="0" applyFont="1" applyFill="1" applyBorder="1" applyAlignment="1">
      <alignment horizontal="left" vertical="center" wrapText="1"/>
    </xf>
    <xf numFmtId="0" fontId="1" fillId="21" borderId="19" xfId="0" applyFont="1" applyFill="1" applyBorder="1" applyAlignment="1">
      <alignment horizontal="center" vertical="center" wrapText="1"/>
    </xf>
    <xf numFmtId="0" fontId="1" fillId="18" borderId="1" xfId="0" applyFont="1" applyFill="1" applyBorder="1" applyAlignment="1">
      <alignment horizontal="center" vertical="center" wrapText="1"/>
    </xf>
    <xf numFmtId="0" fontId="11" fillId="15" borderId="0" xfId="2" applyFont="1" applyFill="1"/>
    <xf numFmtId="0" fontId="0" fillId="15" borderId="0" xfId="0" applyFill="1" applyBorder="1"/>
    <xf numFmtId="0" fontId="10" fillId="15" borderId="0" xfId="2" applyFill="1" applyBorder="1"/>
    <xf numFmtId="0" fontId="9" fillId="15" borderId="0" xfId="1" applyFill="1" applyBorder="1"/>
    <xf numFmtId="49" fontId="0" fillId="0" borderId="0" xfId="0" applyNumberFormat="1" applyFont="1"/>
    <xf numFmtId="49" fontId="0" fillId="0" borderId="4" xfId="0" applyNumberFormat="1" applyFont="1" applyBorder="1" applyAlignment="1">
      <alignment wrapText="1"/>
    </xf>
    <xf numFmtId="0" fontId="0" fillId="15" borderId="8" xfId="0" applyFont="1" applyFill="1" applyBorder="1" applyAlignment="1">
      <alignment vertical="top" wrapText="1"/>
    </xf>
    <xf numFmtId="0" fontId="0" fillId="15" borderId="0" xfId="0" applyFill="1" applyBorder="1" applyAlignment="1">
      <alignment horizontal="left" vertical="top" wrapText="1"/>
    </xf>
    <xf numFmtId="0" fontId="0" fillId="15" borderId="36" xfId="0" applyFill="1" applyBorder="1" applyAlignment="1">
      <alignment horizontal="left" vertical="top" wrapText="1"/>
    </xf>
    <xf numFmtId="0" fontId="0" fillId="15" borderId="0" xfId="0" applyFont="1" applyFill="1" applyBorder="1" applyAlignment="1">
      <alignment horizontal="left" vertical="center" wrapText="1"/>
    </xf>
    <xf numFmtId="0" fontId="0" fillId="15" borderId="35" xfId="0" applyFont="1" applyFill="1" applyBorder="1" applyAlignment="1">
      <alignment horizontal="left" vertical="center" wrapText="1"/>
    </xf>
    <xf numFmtId="0" fontId="2" fillId="15" borderId="0" xfId="0" applyFont="1" applyFill="1" applyBorder="1" applyAlignment="1">
      <alignment horizontal="left" vertical="center" wrapText="1"/>
    </xf>
    <xf numFmtId="0" fontId="2" fillId="15" borderId="35" xfId="0" applyFont="1" applyFill="1" applyBorder="1" applyAlignment="1">
      <alignment horizontal="left" vertical="center" wrapText="1"/>
    </xf>
    <xf numFmtId="0" fontId="0" fillId="15" borderId="22" xfId="0" applyFill="1" applyBorder="1" applyAlignment="1">
      <alignment horizontal="left" vertical="center" wrapText="1"/>
    </xf>
    <xf numFmtId="0" fontId="0" fillId="15" borderId="23" xfId="0" applyFill="1" applyBorder="1" applyAlignment="1">
      <alignment horizontal="left" vertical="center" wrapText="1"/>
    </xf>
    <xf numFmtId="0" fontId="0" fillId="15" borderId="24" xfId="0" applyFill="1" applyBorder="1" applyAlignment="1">
      <alignment horizontal="left" vertical="center" wrapText="1"/>
    </xf>
    <xf numFmtId="0" fontId="0" fillId="15" borderId="25" xfId="0" applyFill="1" applyBorder="1" applyAlignment="1">
      <alignment horizontal="left" vertical="center" wrapText="1"/>
    </xf>
    <xf numFmtId="0" fontId="0" fillId="15" borderId="26" xfId="0" applyFill="1" applyBorder="1" applyAlignment="1">
      <alignment horizontal="left" vertical="center" wrapText="1"/>
    </xf>
    <xf numFmtId="0" fontId="0" fillId="15" borderId="27" xfId="0" applyFill="1" applyBorder="1" applyAlignment="1">
      <alignment horizontal="left" vertical="center" wrapText="1"/>
    </xf>
  </cellXfs>
  <cellStyles count="3">
    <cellStyle name="Explanatory Text" xfId="2" builtinId="53"/>
    <cellStyle name="Input" xfId="1" builtinId="20"/>
    <cellStyle name="Normal" xfId="0" builtinId="0"/>
  </cellStyles>
  <dxfs count="0"/>
  <tableStyles count="0" defaultTableStyle="TableStyleMedium2" defaultPivotStyle="PivotStyleLight16"/>
  <colors>
    <mruColors>
      <color rgb="FFDDDCFC"/>
      <color rgb="FFBFBEFA"/>
      <color rgb="FFD6F6F1"/>
      <color rgb="FFDBE5F1"/>
      <color rgb="FFF7DDF0"/>
      <color rgb="FFF4E2D0"/>
      <color rgb="FFEDEEC0"/>
      <color rgb="FFD5EBDC"/>
      <color rgb="FFF6D6D6"/>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xdr:col>
      <xdr:colOff>2546985</xdr:colOff>
      <xdr:row>3</xdr:row>
      <xdr:rowOff>80010</xdr:rowOff>
    </xdr:from>
    <xdr:to>
      <xdr:col>2</xdr:col>
      <xdr:colOff>3844428</xdr:colOff>
      <xdr:row>3</xdr:row>
      <xdr:rowOff>542411</xdr:rowOff>
    </xdr:to>
    <xdr:pic>
      <xdr:nvPicPr>
        <xdr:cNvPr id="2" name="Picture 1">
          <a:extLst>
            <a:ext uri="{FF2B5EF4-FFF2-40B4-BE49-F238E27FC236}">
              <a16:creationId xmlns:a16="http://schemas.microsoft.com/office/drawing/2014/main" id="{CE70D27F-F34C-47BA-8D01-305124004AD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99885" y="613410"/>
          <a:ext cx="1297443" cy="46240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214630</xdr:colOff>
      <xdr:row>2</xdr:row>
      <xdr:rowOff>123190</xdr:rowOff>
    </xdr:from>
    <xdr:to>
      <xdr:col>2</xdr:col>
      <xdr:colOff>835163</xdr:colOff>
      <xdr:row>3</xdr:row>
      <xdr:rowOff>231261</xdr:rowOff>
    </xdr:to>
    <xdr:pic>
      <xdr:nvPicPr>
        <xdr:cNvPr id="2" name="Picture 1">
          <a:extLst>
            <a:ext uri="{FF2B5EF4-FFF2-40B4-BE49-F238E27FC236}">
              <a16:creationId xmlns:a16="http://schemas.microsoft.com/office/drawing/2014/main" id="{97A7129E-052B-40DE-A21E-E79A2ABE902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24230" y="491490"/>
          <a:ext cx="1449843" cy="457321"/>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9581A7-5EBA-45AF-B7D7-6E8B50004EF7}">
  <sheetPr>
    <tabColor theme="4"/>
  </sheetPr>
  <dimension ref="A1:H65"/>
  <sheetViews>
    <sheetView tabSelected="1" zoomScaleNormal="100" workbookViewId="0"/>
  </sheetViews>
  <sheetFormatPr defaultColWidth="8.85546875" defaultRowHeight="15" x14ac:dyDescent="0.25"/>
  <cols>
    <col min="1" max="1" width="6.28515625" style="1" customWidth="1"/>
    <col min="2" max="2" width="56" style="1" customWidth="1"/>
    <col min="3" max="3" width="59.5703125" style="1" customWidth="1"/>
    <col min="4" max="5" width="8.85546875" style="1"/>
    <col min="6" max="6" width="41.140625" style="1" customWidth="1"/>
    <col min="7" max="7" width="8.140625" style="1" bestFit="1" customWidth="1"/>
    <col min="8" max="16384" width="8.85546875" style="1"/>
  </cols>
  <sheetData>
    <row r="1" spans="1:8" x14ac:dyDescent="0.25">
      <c r="A1" s="54"/>
      <c r="B1" s="54"/>
      <c r="C1" s="54"/>
      <c r="D1" s="54"/>
    </row>
    <row r="2" spans="1:8" ht="13.9" customHeight="1" x14ac:dyDescent="0.25">
      <c r="A2" s="54"/>
      <c r="B2" s="185" t="s">
        <v>788</v>
      </c>
      <c r="C2" s="167" t="s">
        <v>782</v>
      </c>
      <c r="D2" s="54"/>
      <c r="F2" s="186"/>
      <c r="G2" s="186"/>
      <c r="H2" s="186"/>
    </row>
    <row r="3" spans="1:8" ht="13.9" customHeight="1" x14ac:dyDescent="0.25">
      <c r="A3" s="54"/>
      <c r="B3" s="54"/>
      <c r="C3" s="54"/>
      <c r="D3" s="54"/>
      <c r="F3" s="186"/>
      <c r="G3" s="186"/>
      <c r="H3" s="186"/>
    </row>
    <row r="4" spans="1:8" ht="42.75" customHeight="1" x14ac:dyDescent="0.25">
      <c r="A4" s="54"/>
      <c r="B4" s="196" t="str" cm="1">
        <f t="array" ref="B4">_xlfn.XLOOKUP($C$2,Languages!B1:D1,_xlfn.XLOOKUP("TITLE",Languages!A2:A99,Languages!B2:D99))</f>
        <v>Liite: Ristiinviittaustaulukko</v>
      </c>
      <c r="C4" s="197"/>
      <c r="D4" s="54"/>
      <c r="F4" s="187"/>
      <c r="G4" s="188"/>
      <c r="H4" s="186"/>
    </row>
    <row r="5" spans="1:8" ht="63" customHeight="1" x14ac:dyDescent="0.25">
      <c r="A5" s="54"/>
      <c r="B5" s="194" t="str" cm="1">
        <f t="array" ref="B5">_xlfn.XLOOKUP($C$2,Languages!B1:D1,_xlfn.XLOOKUP("TITLE_EXPLANATION",Languages!A2:A99,Languages!B2:D99))</f>
        <v>Liikenne- ja viestintävirasto Traficomin suositus NIS-valvoville viranomaisille kyberturvallisuuden riskienhallinnan toimenpiteistä 
Liite: Ristiinviittaustaulukko, esimerkkejä laajasti tunnetuista standardeista, viitekehyksistä ja ohjeistuksista, jotka liittyvät kyseiseen suositukseen.</v>
      </c>
      <c r="C5" s="195"/>
      <c r="D5" s="54"/>
      <c r="F5" s="186"/>
      <c r="G5" s="186"/>
      <c r="H5" s="186"/>
    </row>
    <row r="6" spans="1:8" ht="13.9" customHeight="1" x14ac:dyDescent="0.25">
      <c r="A6" s="54"/>
      <c r="B6" s="54"/>
      <c r="C6" s="71"/>
      <c r="D6" s="54"/>
    </row>
    <row r="7" spans="1:8" ht="18.75" customHeight="1" x14ac:dyDescent="0.25">
      <c r="A7" s="54"/>
      <c r="B7" s="192" t="str" cm="1">
        <f t="array" ref="B7">_xlfn.XLOOKUP($C$2,Languages!B1:D1,_xlfn.XLOOKUP("DISCLAIMER",Languages!A2:A99,Languages!B2:D99))</f>
        <v>Kyberturvallisuuskeskus on suositusta ja sen liitteenä olevaa ristiinviittaustaulukkoa laatiessaan tarkastellut rinnakkain kansallista kyberturvallisuuslakia ja lakia julkisen hallinnon tiedonhallinnasta, NIS2-direktiiviä (2022/2555) sekä täytäntöönpanoasetusta (EU) 2024/2690 ja sen liitännäisasiakirjoja, jotka on valmisteltu jäsenvaltioiden, komission ja ENISAn yhteistyönä sekä lukuisia tietoturvallisuuden kriteeristöjä ja arviointityökaluja, kuten ISO/IEC 27001, IEC 62443, NIST CSF, Julkri ja Kybermittari. Näiden ja viraston eri tietoturvallisuustehtävissä kertyneen kokemuksen avulla on pyritty määrittämään kyberturvallisuuden kannalta yleiset käytännöt, jotka soveltuvat laissa esitettyihin kyberturvallisuuden riskienhallinnan toimenpiteisiin ja niiden valvomiseen.
Suosituksessa ja sen ristiinviittaustaulukossa käytetyt arviointikriteeristöt ja standardit ovat ohjeellisia eikä niitä sellaisinaan ole harmonisoitu kyberturvallisuuslain tai tiedonhallintalain vaatimusten kanssa. Standardin kohta voi esimerkiksi sisältää lakiin sisältymättömiä vaatimuksia, joten ne eivät ole keskenään suoraan rinnastettavissa. 
Voit vapaasti ottaa käyttöön, jakaa ja muunnella ristiinviittaustaulukkoa, kun nimeät alkuperäisen lähteen. Huomioithan Kyberturvallisuuskeskuksen ulkopuoliset ristiinviittaustaulukon sisältämät tietolähteet ja niiden oikeuksienhaltijoiden mahdolliset oikeudet käyttäessäsi dokumenttia. 
Kyberturvallisuuskeskus tarjoaa ristiinviittaustaulukon sellaisena, kuin se Kyberturvallisuuskeskuksen verkkosivuilla on tarjolla. Ristiinviittaustaulukon käyttöönottaja vastaa taulukon pohjalta tekemistään toimenpiteistä, mukaan lukien palvelut, joita se tarjoaa kolmannelle osapuolelle. Kyberturvallisuuskeskus jatkaa ristiinviittaustaulukon kehitystä ja sitä tullaan muokkaamaan tulevaisuudessa. Muutoksista ilmoitetaan verkkosivuillamme.</v>
      </c>
      <c r="C7" s="193"/>
      <c r="D7" s="54"/>
    </row>
    <row r="8" spans="1:8" x14ac:dyDescent="0.25">
      <c r="A8" s="54"/>
      <c r="B8" s="192"/>
      <c r="C8" s="193"/>
      <c r="D8" s="54"/>
    </row>
    <row r="9" spans="1:8" x14ac:dyDescent="0.25">
      <c r="A9" s="54"/>
      <c r="B9" s="192"/>
      <c r="C9" s="193"/>
      <c r="D9" s="54"/>
    </row>
    <row r="10" spans="1:8" x14ac:dyDescent="0.25">
      <c r="A10" s="54"/>
      <c r="B10" s="192"/>
      <c r="C10" s="193"/>
      <c r="D10" s="54"/>
    </row>
    <row r="11" spans="1:8" x14ac:dyDescent="0.25">
      <c r="A11" s="54"/>
      <c r="B11" s="192"/>
      <c r="C11" s="193"/>
      <c r="D11" s="54"/>
    </row>
    <row r="12" spans="1:8" x14ac:dyDescent="0.25">
      <c r="A12" s="54"/>
      <c r="B12" s="192"/>
      <c r="C12" s="193"/>
      <c r="D12" s="54"/>
    </row>
    <row r="13" spans="1:8" x14ac:dyDescent="0.25">
      <c r="A13" s="54"/>
      <c r="B13" s="192"/>
      <c r="C13" s="193"/>
      <c r="D13" s="54"/>
    </row>
    <row r="14" spans="1:8" x14ac:dyDescent="0.25">
      <c r="A14" s="54"/>
      <c r="B14" s="192"/>
      <c r="C14" s="193"/>
      <c r="D14" s="54"/>
    </row>
    <row r="15" spans="1:8" x14ac:dyDescent="0.25">
      <c r="A15" s="54"/>
      <c r="B15" s="192"/>
      <c r="C15" s="193"/>
      <c r="D15" s="54"/>
    </row>
    <row r="16" spans="1:8" x14ac:dyDescent="0.25">
      <c r="A16" s="54"/>
      <c r="B16" s="192"/>
      <c r="C16" s="193"/>
      <c r="D16" s="54"/>
    </row>
    <row r="17" spans="1:4" x14ac:dyDescent="0.25">
      <c r="A17" s="54"/>
      <c r="B17" s="192"/>
      <c r="C17" s="193"/>
      <c r="D17" s="54"/>
    </row>
    <row r="18" spans="1:4" x14ac:dyDescent="0.25">
      <c r="A18" s="54"/>
      <c r="B18" s="192"/>
      <c r="C18" s="193"/>
      <c r="D18" s="54"/>
    </row>
    <row r="19" spans="1:4" x14ac:dyDescent="0.25">
      <c r="A19" s="54"/>
      <c r="B19" s="192"/>
      <c r="C19" s="193"/>
      <c r="D19" s="54"/>
    </row>
    <row r="20" spans="1:4" x14ac:dyDescent="0.25">
      <c r="A20" s="54"/>
      <c r="B20" s="192"/>
      <c r="C20" s="193"/>
      <c r="D20" s="54"/>
    </row>
    <row r="21" spans="1:4" x14ac:dyDescent="0.25">
      <c r="A21" s="54"/>
      <c r="B21" s="192"/>
      <c r="C21" s="193"/>
      <c r="D21" s="54"/>
    </row>
    <row r="22" spans="1:4" x14ac:dyDescent="0.25">
      <c r="A22" s="54"/>
      <c r="B22" s="192"/>
      <c r="C22" s="193"/>
      <c r="D22" s="54"/>
    </row>
    <row r="23" spans="1:4" x14ac:dyDescent="0.25">
      <c r="A23" s="54"/>
      <c r="B23" s="192"/>
      <c r="C23" s="193"/>
      <c r="D23" s="54"/>
    </row>
    <row r="24" spans="1:4" x14ac:dyDescent="0.25">
      <c r="A24" s="54"/>
      <c r="B24" s="192"/>
      <c r="C24" s="193"/>
      <c r="D24" s="54"/>
    </row>
    <row r="25" spans="1:4" x14ac:dyDescent="0.25">
      <c r="A25" s="54"/>
      <c r="B25" s="192"/>
      <c r="C25" s="193"/>
      <c r="D25" s="54"/>
    </row>
    <row r="26" spans="1:4" x14ac:dyDescent="0.25">
      <c r="A26" s="54"/>
      <c r="B26" s="192"/>
      <c r="C26" s="193"/>
      <c r="D26" s="54"/>
    </row>
    <row r="27" spans="1:4" x14ac:dyDescent="0.25">
      <c r="A27" s="54"/>
      <c r="B27" s="192"/>
      <c r="C27" s="193"/>
      <c r="D27" s="54"/>
    </row>
    <row r="28" spans="1:4" x14ac:dyDescent="0.25">
      <c r="A28" s="54"/>
      <c r="B28" s="54"/>
      <c r="C28" s="54"/>
      <c r="D28" s="54"/>
    </row>
    <row r="29" spans="1:4" ht="14.25" customHeight="1" x14ac:dyDescent="0.25">
      <c r="A29" s="54"/>
      <c r="B29" s="192" t="str" cm="1">
        <f t="array" ref="B29">_xlfn.XLOOKUP($C$2,Languages!B1:D1,_xlfn.XLOOKUP("SOURCES",Languages!A2:A99,Languages!B2:D99))</f>
        <v>Lähteet:
Euroopan parlamentin ja neuvoston direktiivi (EU) 2022/2555 (https://eur-lex.europa.eu/legal-content/FI-EN/TXT/?uri=CELEX:32022L2555)
Komission täytäntöönpanoasetus (EU) 2024/2690 (https://eur-lex.europa.eu/legal-content/FI-EN/TXT/?from=EN&amp;uri=CELEX%3A32024R2690)
NIS CG Reference document (Ei toistaiseksi julkisesti saatavilla)
Implementing Guidance On Commission Implementing Regulation (EU) 2024/2690 (luonnos) (https://www.enisa.europa.eu/sites/default/files/2024-11/Implementation%20guidance%20on%20security%20measures_FOR%20PUBLIC%20CONSULTATION.pdf)
Kyberturvallisuuslaki ja tiedonhallintalain muutokset (luonnos HE 57/2024) (https://www.finlex.fi/fi/esitykset/he/2024/20240057)
Kybermittari (https://www.kybermittari.fi/)
ISO/IEC 27001:2022 (https://www.iso.org/standard/27001)
ISO/IEC 27002:2022 (https://www.iso.org/standard/75652.html)
ISO/IEC 27005:2022 (https://www.iso.org/standard/80585.html)
ISO/IEC 27035-1:2023 (https://www.iso.org/standard/78973.html)
ISO/IEC 27035-2:2023 (https://www.iso.org/standard/78974.html)
ISO 28000:2022 (https://www.iso.org/standard/79612.html)
IEC 62443-2-1:2010 (https://webstore.iec.ch/en/publication/7030)
IEC 62443-2-1:2024 (https://webstore.iec.ch/en/publication/62883)
IEC 62443-2-4:2015 (https://webstore.iec.ch/en/publication/22810)
IEC 62443-2-4:2023 (https://webstore.iec.ch/en/publication/67631)
IEC 62443-3-3:2013 (https://webstore.iec.ch/en/publication/7033)
NIST CSF 1.1 (https://www.nist.gov/cyberframework/csf-11-archive)
NIST CSF 2.0 (https://nvlpubs.nist.gov/nistpubs/CSWP/NIST.CSWP.29.pdf)
NIST SP 800-30 rev 1 (https://csrc.nist.gov/pubs/sp/800/30/r1/final)
NIST SP 800-37 rev 2 (https://csrc.nist.gov/pubs/sp/800/37/r2/final)
NIST SP 800-61 rev 2 (https://csrc.nist.gov/pubs/sp/800/61/r2/final)
NIST SP 800-161 rev 1 (https://csrc.nist.gov/pubs/sp/800/161/r1/upd1/final)
Rakennusten digitaalinen turvallisuus RT 103206 (https://kortistot.rakennustieto.fi/kortit/RT%20103206)
Rakennusten digitaalinen turvallisuus RT 103207 (https://kortistot.rakennustieto.fi/kortit/RT%20103207)
Rakennusten digitaalinen turvallisuus RT 103208 (https://kortistot.rakennustieto.fi/kortit/RT%20103208)</v>
      </c>
      <c r="C29" s="193"/>
      <c r="D29" s="54"/>
    </row>
    <row r="30" spans="1:4" ht="14.25" customHeight="1" x14ac:dyDescent="0.25">
      <c r="A30" s="54"/>
      <c r="B30" s="192"/>
      <c r="C30" s="193"/>
      <c r="D30" s="54"/>
    </row>
    <row r="31" spans="1:4" ht="14.25" customHeight="1" x14ac:dyDescent="0.25">
      <c r="A31" s="54"/>
      <c r="B31" s="192"/>
      <c r="C31" s="193"/>
      <c r="D31" s="54"/>
    </row>
    <row r="32" spans="1:4" ht="14.25" customHeight="1" x14ac:dyDescent="0.25">
      <c r="A32" s="54"/>
      <c r="B32" s="192"/>
      <c r="C32" s="193"/>
      <c r="D32" s="54"/>
    </row>
    <row r="33" spans="1:4" ht="14.25" customHeight="1" x14ac:dyDescent="0.25">
      <c r="A33" s="54"/>
      <c r="B33" s="192"/>
      <c r="C33" s="193"/>
      <c r="D33" s="54"/>
    </row>
    <row r="34" spans="1:4" ht="14.25" customHeight="1" x14ac:dyDescent="0.25">
      <c r="A34" s="54"/>
      <c r="B34" s="192"/>
      <c r="C34" s="193"/>
      <c r="D34" s="54"/>
    </row>
    <row r="35" spans="1:4" ht="14.25" customHeight="1" x14ac:dyDescent="0.25">
      <c r="A35" s="54"/>
      <c r="B35" s="192"/>
      <c r="C35" s="193"/>
      <c r="D35" s="54"/>
    </row>
    <row r="36" spans="1:4" ht="14.25" customHeight="1" x14ac:dyDescent="0.25">
      <c r="A36" s="54"/>
      <c r="B36" s="192"/>
      <c r="C36" s="193"/>
      <c r="D36" s="54"/>
    </row>
    <row r="37" spans="1:4" ht="14.25" customHeight="1" x14ac:dyDescent="0.25">
      <c r="A37" s="54"/>
      <c r="B37" s="192"/>
      <c r="C37" s="193"/>
      <c r="D37" s="54"/>
    </row>
    <row r="38" spans="1:4" ht="14.25" customHeight="1" x14ac:dyDescent="0.25">
      <c r="A38" s="54"/>
      <c r="B38" s="192"/>
      <c r="C38" s="193"/>
      <c r="D38" s="54"/>
    </row>
    <row r="39" spans="1:4" ht="14.25" customHeight="1" x14ac:dyDescent="0.25">
      <c r="A39" s="54"/>
      <c r="B39" s="192"/>
      <c r="C39" s="193"/>
      <c r="D39" s="54"/>
    </row>
    <row r="40" spans="1:4" ht="14.25" customHeight="1" x14ac:dyDescent="0.25">
      <c r="A40" s="54"/>
      <c r="B40" s="192"/>
      <c r="C40" s="193"/>
      <c r="D40" s="54"/>
    </row>
    <row r="41" spans="1:4" ht="14.25" customHeight="1" x14ac:dyDescent="0.25">
      <c r="A41" s="54"/>
      <c r="B41" s="192"/>
      <c r="C41" s="193"/>
      <c r="D41" s="54"/>
    </row>
    <row r="42" spans="1:4" ht="14.25" customHeight="1" x14ac:dyDescent="0.25">
      <c r="A42" s="54"/>
      <c r="B42" s="192"/>
      <c r="C42" s="193"/>
      <c r="D42" s="54"/>
    </row>
    <row r="43" spans="1:4" ht="14.25" customHeight="1" x14ac:dyDescent="0.25">
      <c r="A43" s="54"/>
      <c r="B43" s="192"/>
      <c r="C43" s="193"/>
      <c r="D43" s="54"/>
    </row>
    <row r="44" spans="1:4" ht="14.25" customHeight="1" x14ac:dyDescent="0.25">
      <c r="A44" s="54"/>
      <c r="B44" s="192"/>
      <c r="C44" s="193"/>
      <c r="D44" s="54"/>
    </row>
    <row r="45" spans="1:4" ht="14.25" customHeight="1" x14ac:dyDescent="0.25">
      <c r="A45" s="54"/>
      <c r="B45" s="192"/>
      <c r="C45" s="193"/>
      <c r="D45" s="54"/>
    </row>
    <row r="46" spans="1:4" ht="14.25" customHeight="1" x14ac:dyDescent="0.25">
      <c r="A46" s="54"/>
      <c r="B46" s="192"/>
      <c r="C46" s="193"/>
      <c r="D46" s="54"/>
    </row>
    <row r="47" spans="1:4" ht="14.25" customHeight="1" x14ac:dyDescent="0.25">
      <c r="A47" s="54"/>
      <c r="B47" s="192"/>
      <c r="C47" s="193"/>
      <c r="D47" s="54"/>
    </row>
    <row r="48" spans="1:4" ht="14.25" customHeight="1" x14ac:dyDescent="0.25">
      <c r="A48" s="54"/>
      <c r="B48" s="192"/>
      <c r="C48" s="193"/>
      <c r="D48" s="54"/>
    </row>
    <row r="49" spans="1:4" ht="14.25" customHeight="1" x14ac:dyDescent="0.25">
      <c r="A49" s="54"/>
      <c r="B49" s="192"/>
      <c r="C49" s="193"/>
      <c r="D49" s="54"/>
    </row>
    <row r="50" spans="1:4" ht="14.25" customHeight="1" x14ac:dyDescent="0.25">
      <c r="A50" s="54"/>
      <c r="B50" s="192"/>
      <c r="C50" s="193"/>
      <c r="D50" s="54"/>
    </row>
    <row r="51" spans="1:4" ht="14.25" customHeight="1" x14ac:dyDescent="0.25">
      <c r="A51" s="54"/>
      <c r="B51" s="192"/>
      <c r="C51" s="193"/>
      <c r="D51" s="54"/>
    </row>
    <row r="52" spans="1:4" ht="14.25" customHeight="1" x14ac:dyDescent="0.25">
      <c r="A52" s="54"/>
      <c r="B52" s="192"/>
      <c r="C52" s="193"/>
      <c r="D52" s="54"/>
    </row>
    <row r="53" spans="1:4" ht="14.25" customHeight="1" x14ac:dyDescent="0.25">
      <c r="A53" s="54"/>
      <c r="B53" s="192"/>
      <c r="C53" s="193"/>
      <c r="D53" s="54"/>
    </row>
    <row r="54" spans="1:4" ht="14.25" customHeight="1" x14ac:dyDescent="0.25">
      <c r="A54" s="54"/>
      <c r="B54" s="192"/>
      <c r="C54" s="193"/>
      <c r="D54" s="54"/>
    </row>
    <row r="55" spans="1:4" ht="14.25" customHeight="1" x14ac:dyDescent="0.25">
      <c r="A55" s="54"/>
      <c r="B55" s="192"/>
      <c r="C55" s="193"/>
      <c r="D55" s="54"/>
    </row>
    <row r="56" spans="1:4" ht="14.25" customHeight="1" x14ac:dyDescent="0.25">
      <c r="A56" s="54"/>
      <c r="B56" s="192"/>
      <c r="C56" s="193"/>
      <c r="D56" s="54"/>
    </row>
    <row r="57" spans="1:4" ht="14.25" customHeight="1" x14ac:dyDescent="0.25">
      <c r="A57" s="54"/>
      <c r="B57" s="192"/>
      <c r="C57" s="193"/>
      <c r="D57" s="54"/>
    </row>
    <row r="58" spans="1:4" x14ac:dyDescent="0.25">
      <c r="A58" s="54"/>
      <c r="B58" s="192"/>
      <c r="C58" s="193"/>
      <c r="D58" s="54"/>
    </row>
    <row r="59" spans="1:4" x14ac:dyDescent="0.25">
      <c r="A59" s="54"/>
      <c r="B59" s="192"/>
      <c r="C59" s="193"/>
      <c r="D59" s="54"/>
    </row>
    <row r="60" spans="1:4" x14ac:dyDescent="0.25">
      <c r="A60" s="54"/>
      <c r="B60" s="192"/>
      <c r="C60" s="193"/>
      <c r="D60" s="54"/>
    </row>
    <row r="61" spans="1:4" x14ac:dyDescent="0.25">
      <c r="A61" s="54"/>
      <c r="B61" s="192"/>
      <c r="C61" s="193"/>
      <c r="D61" s="54"/>
    </row>
    <row r="62" spans="1:4" x14ac:dyDescent="0.25">
      <c r="A62" s="54"/>
      <c r="B62" s="192"/>
      <c r="C62" s="193"/>
      <c r="D62" s="54"/>
    </row>
    <row r="63" spans="1:4" x14ac:dyDescent="0.25">
      <c r="A63" s="54"/>
      <c r="B63" s="192"/>
      <c r="C63" s="193"/>
      <c r="D63" s="54"/>
    </row>
    <row r="64" spans="1:4" ht="71.25" customHeight="1" x14ac:dyDescent="0.25">
      <c r="A64" s="54"/>
      <c r="B64" s="192" t="str" cm="1">
        <f t="array" ref="B64">_xlfn.XLOOKUP($C$2,Languages!B1:D1,_xlfn.XLOOKUP("HISTORY",Languages!A2:A99,Languages!B2:D99))</f>
        <v>Päivitykset:
17.3.2025: Korjattu suosituksen 8. kappaleen viittauksia, lisätty sarake IEC 62443-3-3:2013 -standardille
20.3.2025: Lisätty kieliversiot
25.3.2025: Kieliversioita päivitetty, lisätty dynaamiset viittaukset ristiinviittaustaulukkoon</v>
      </c>
      <c r="C64" s="193"/>
      <c r="D64" s="54"/>
    </row>
    <row r="65" spans="1:4" x14ac:dyDescent="0.25">
      <c r="A65" s="54"/>
      <c r="B65" s="54"/>
      <c r="C65" s="54"/>
      <c r="D65" s="54"/>
    </row>
  </sheetData>
  <mergeCells count="5">
    <mergeCell ref="B64:C64"/>
    <mergeCell ref="B5:C5"/>
    <mergeCell ref="B4:C4"/>
    <mergeCell ref="B7:C27"/>
    <mergeCell ref="B29:C63"/>
  </mergeCell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3F7F53B-EB93-4AF2-BB35-52DCBE1B82A9}">
          <x14:formula1>
            <xm:f>Languages!$B$1:$D$1</xm:f>
          </x14:formula1>
          <xm:sqref>G4 C2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1FE58F-DC0E-4813-A3F0-BDB6359728C0}">
  <sheetPr>
    <tabColor theme="4"/>
    <pageSetUpPr fitToPage="1"/>
  </sheetPr>
  <dimension ref="A1:AF86"/>
  <sheetViews>
    <sheetView workbookViewId="0">
      <pane ySplit="7" topLeftCell="A8" activePane="bottomLeft" state="frozen"/>
      <selection pane="bottomLeft"/>
    </sheetView>
  </sheetViews>
  <sheetFormatPr defaultColWidth="8.85546875" defaultRowHeight="15" x14ac:dyDescent="0.25"/>
  <cols>
    <col min="1" max="1" width="8.85546875" style="1"/>
    <col min="2" max="2" width="12.140625" style="1" customWidth="1"/>
    <col min="3" max="3" width="15.7109375" style="1" customWidth="1"/>
    <col min="4" max="10" width="35.7109375" style="1" customWidth="1"/>
    <col min="11" max="11" width="20.7109375" style="1" customWidth="1"/>
    <col min="12" max="31" width="12.5703125" style="1" customWidth="1"/>
    <col min="32" max="16384" width="8.85546875" style="1"/>
  </cols>
  <sheetData>
    <row r="1" spans="1:32" ht="22.9" customHeight="1" x14ac:dyDescent="0.25">
      <c r="A1" s="71"/>
      <c r="B1" s="71"/>
      <c r="C1" s="71"/>
      <c r="D1" s="71"/>
      <c r="E1" s="71"/>
      <c r="F1" s="71"/>
      <c r="G1" s="71"/>
      <c r="H1" s="71"/>
      <c r="I1" s="71"/>
      <c r="J1" s="71"/>
      <c r="K1" s="71"/>
      <c r="L1" s="71"/>
      <c r="M1" s="71"/>
      <c r="N1" s="71"/>
      <c r="O1" s="71"/>
      <c r="P1" s="71"/>
      <c r="Q1" s="71"/>
      <c r="R1" s="71"/>
      <c r="S1" s="71"/>
      <c r="T1" s="71"/>
      <c r="U1" s="71"/>
      <c r="V1" s="71"/>
      <c r="W1" s="71"/>
      <c r="X1" s="71"/>
      <c r="Y1" s="71"/>
      <c r="Z1" s="71"/>
      <c r="AA1" s="71"/>
      <c r="AB1" s="71"/>
      <c r="AC1" s="71"/>
      <c r="AD1" s="71"/>
      <c r="AE1" s="71"/>
      <c r="AF1" s="71"/>
    </row>
    <row r="2" spans="1:32" ht="15.75" thickBot="1" x14ac:dyDescent="0.3">
      <c r="A2" s="71"/>
      <c r="I2" s="71"/>
      <c r="J2" s="71"/>
      <c r="K2" s="71"/>
      <c r="L2" s="71"/>
      <c r="M2" s="71"/>
      <c r="N2" s="71"/>
      <c r="O2" s="71"/>
      <c r="P2" s="71"/>
      <c r="Q2" s="71"/>
      <c r="R2" s="71"/>
      <c r="S2" s="71"/>
      <c r="T2" s="71"/>
      <c r="U2" s="71"/>
      <c r="V2" s="71"/>
      <c r="W2" s="71"/>
      <c r="X2" s="71"/>
      <c r="Y2" s="71"/>
      <c r="Z2" s="71"/>
      <c r="AA2" s="71"/>
      <c r="AB2" s="71"/>
      <c r="AC2" s="71"/>
      <c r="AD2" s="71"/>
      <c r="AE2" s="71"/>
      <c r="AF2" s="71"/>
    </row>
    <row r="3" spans="1:32" ht="26.45" customHeight="1" x14ac:dyDescent="0.25">
      <c r="A3" s="71"/>
      <c r="D3" s="198" t="str" cm="1">
        <f t="array" ref="D3">_xlfn.XLOOKUP(Background!$C$2,Languages!B1:D1,_xlfn.XLOOKUP("TITLE_EXPLANATION",Languages!A2:A99,Languages!B2:D99))</f>
        <v>Liikenne- ja viestintävirasto Traficomin suositus NIS-valvoville viranomaisille kyberturvallisuuden riskienhallinnan toimenpiteistä 
Liite: Ristiinviittaustaulukko, esimerkkejä laajasti tunnetuista standardeista, viitekehyksistä ja ohjeistuksista, jotka liittyvät kyseiseen suositukseen.</v>
      </c>
      <c r="E3" s="199"/>
      <c r="F3" s="199"/>
      <c r="G3" s="200"/>
      <c r="I3" s="71"/>
      <c r="J3" s="71"/>
      <c r="K3" s="71"/>
      <c r="L3" s="71"/>
      <c r="M3" s="71"/>
      <c r="N3" s="71"/>
      <c r="O3" s="71"/>
      <c r="P3" s="71"/>
      <c r="Q3" s="71"/>
      <c r="R3" s="71"/>
      <c r="S3" s="71"/>
      <c r="T3" s="71"/>
      <c r="U3" s="71"/>
      <c r="V3" s="71"/>
      <c r="W3" s="71"/>
      <c r="X3" s="71"/>
      <c r="Y3" s="71"/>
      <c r="Z3" s="71"/>
      <c r="AA3" s="71"/>
      <c r="AB3" s="71"/>
      <c r="AC3" s="71"/>
      <c r="AD3" s="71"/>
      <c r="AE3" s="71"/>
      <c r="AF3" s="71"/>
    </row>
    <row r="4" spans="1:32" ht="26.45" customHeight="1" thickBot="1" x14ac:dyDescent="0.3">
      <c r="A4" s="71"/>
      <c r="D4" s="201"/>
      <c r="E4" s="202"/>
      <c r="F4" s="202"/>
      <c r="G4" s="203"/>
      <c r="I4" s="71"/>
      <c r="J4" s="71"/>
      <c r="K4" s="71"/>
      <c r="L4" s="71"/>
      <c r="M4" s="71"/>
      <c r="N4" s="71"/>
      <c r="O4" s="71"/>
      <c r="P4" s="71"/>
      <c r="Q4" s="71"/>
      <c r="R4" s="71"/>
      <c r="S4" s="71"/>
      <c r="T4" s="71"/>
      <c r="U4" s="71"/>
      <c r="V4" s="71"/>
      <c r="W4" s="71"/>
      <c r="X4" s="71"/>
      <c r="Y4" s="71"/>
      <c r="Z4" s="71"/>
      <c r="AA4" s="71"/>
      <c r="AB4" s="71"/>
      <c r="AC4" s="71"/>
      <c r="AD4" s="71"/>
      <c r="AE4" s="71"/>
      <c r="AF4" s="71"/>
    </row>
    <row r="5" spans="1:32" ht="15" customHeight="1" x14ac:dyDescent="0.25">
      <c r="A5" s="71"/>
      <c r="I5" s="71"/>
      <c r="J5" s="71"/>
      <c r="K5" s="71"/>
      <c r="L5" s="71"/>
      <c r="M5" s="71"/>
      <c r="N5" s="71"/>
      <c r="O5" s="71"/>
      <c r="P5" s="71"/>
      <c r="Q5" s="71"/>
      <c r="R5" s="71"/>
      <c r="S5" s="71"/>
      <c r="T5" s="71"/>
      <c r="U5" s="71"/>
      <c r="V5" s="71"/>
      <c r="W5" s="71"/>
      <c r="X5" s="71"/>
      <c r="Y5" s="71"/>
      <c r="Z5" s="71"/>
      <c r="AA5" s="71"/>
      <c r="AB5" s="71"/>
      <c r="AC5" s="71"/>
      <c r="AD5" s="71"/>
      <c r="AE5" s="129"/>
      <c r="AF5" s="129"/>
    </row>
    <row r="6" spans="1:32" ht="19.149999999999999" customHeight="1" thickBot="1" x14ac:dyDescent="0.3">
      <c r="A6" s="71"/>
      <c r="B6" s="164"/>
      <c r="C6" s="71"/>
      <c r="D6" s="71"/>
      <c r="E6" s="71"/>
      <c r="F6" s="164"/>
      <c r="G6" s="164"/>
      <c r="H6" s="71"/>
      <c r="I6" s="71"/>
      <c r="J6" s="71"/>
      <c r="K6" s="71"/>
      <c r="L6" s="71"/>
      <c r="M6" s="71"/>
      <c r="N6" s="71"/>
      <c r="O6" s="71"/>
      <c r="P6" s="71"/>
      <c r="Q6" s="71"/>
      <c r="R6" s="71"/>
      <c r="S6" s="71"/>
      <c r="T6" s="71"/>
      <c r="U6" s="71"/>
      <c r="V6" s="71"/>
      <c r="W6" s="71"/>
      <c r="X6" s="71"/>
      <c r="Y6" s="71"/>
      <c r="Z6" s="71"/>
      <c r="AA6" s="71"/>
      <c r="AB6" s="71"/>
      <c r="AC6" s="164"/>
      <c r="AD6" s="129"/>
      <c r="AE6" s="164"/>
      <c r="AF6" s="129"/>
    </row>
    <row r="7" spans="1:32" ht="99" customHeight="1" thickBot="1" x14ac:dyDescent="0.3">
      <c r="A7" s="71"/>
      <c r="B7" s="121" t="str" cm="1">
        <f t="array" ref="B7">_xlfn.XLOOKUP(Background!$C$2,Languages!$B$1:$D$1,_xlfn.XLOOKUP("REF_RIVINRO",Languages!$A$2:$A$99,Languages!$B$2:$D$99))</f>
        <v>Rivinumero</v>
      </c>
      <c r="C7" s="122" t="str" cm="1">
        <f t="array" ref="C7">_xlfn.XLOOKUP(Background!$C$2,Languages!$B$1:$D$1,_xlfn.XLOOKUP("REF_NIS2",Languages!$A$2:$A$99,Languages!$B$2:$D$99))</f>
        <v>(EU) 2022/2555
NIS2 Artikla</v>
      </c>
      <c r="D7" s="123" t="str" cm="1">
        <f t="array" ref="D7">_xlfn.XLOOKUP(Background!$C$2,Languages!$B$1:$D$1,_xlfn.XLOOKUP("REF_TPA",Languages!$A$2:$A$99,Languages!$B$2:$D$99))</f>
        <v>(EU) 2024/2690
Komission täytäntöönpanoasetuksen liite</v>
      </c>
      <c r="E7" s="123" t="str" cm="1">
        <f t="array" ref="E7">_xlfn.XLOOKUP(Background!$C$2,Languages!$B$1:$D$1,_xlfn.XLOOKUP("REF_NISCGREFERENCE",Languages!$A$2:$A$99,Languages!$B$2:$D$99))</f>
        <v>NIS-yhteistyöryhmän referenssidokumentti</v>
      </c>
      <c r="F7" s="184" t="str" cm="1">
        <f t="array" ref="F7">_xlfn.XLOOKUP(Background!$C$2,Languages!$B$1:$D$1,_xlfn.XLOOKUP("REF_IMPLEMENTINGGUIDANCE",Languages!$A$2:$A$99,Languages!$B$2:$D$99))</f>
        <v>Komission täytäntöönpanoasetuksen (EU) 2024/2690 soveltamisohje</v>
      </c>
      <c r="G7" s="126" t="str" cm="1">
        <f t="array" ref="G7">_xlfn.XLOOKUP(Background!$C$2,Languages!$B$1:$D$1,_xlfn.XLOOKUP("REF_KYBERMITTARI_IG",Languages!$A$2:$A$99,Languages!$B$2:$D$99))</f>
        <v>Kybermittariviittaukset täytäntöönpanoasetuksen soveltamisohjeessa</v>
      </c>
      <c r="H7" s="183" t="str" cm="1">
        <f t="array" ref="H7">_xlfn.XLOOKUP(Background!$C$2,Languages!$B$1:$D$1,_xlfn.XLOOKUP("REF_KYBERTURVALLISUUSLAKI",Languages!$A$2:$A$99,Languages!$B$2:$D$99))</f>
        <v>Kyberturvallisuuslaki 9 §</v>
      </c>
      <c r="I7" s="183" t="str" cm="1">
        <f t="array" ref="I7">_xlfn.XLOOKUP(Background!$C$2,Languages!$B$1:$D$1,_xlfn.XLOOKUP("REF_TIEDONHALLINTALAKI",Languages!$A$2:$A$99,Languages!$B$2:$D$99))</f>
        <v>Laki julkisen hallinnon tiedonhallinnasta 18 §</v>
      </c>
      <c r="J7" s="183" t="str" cm="1">
        <f t="array" ref="J7">_xlfn.XLOOKUP(Background!$C$2,Languages!$B$1:$D$1,_xlfn.XLOOKUP("REF_SUOSITUS",Languages!$A$2:$A$99,Languages!$B$2:$D$99))</f>
        <v>Liikenne- ja viestintävirasto Traficomin suositus NIS-valvoville viranomaisille kyberturvallisuuden riskienhallinnan toimenpiteistä</v>
      </c>
      <c r="K7" s="126" t="str" cm="1">
        <f t="array" ref="K7">_xlfn.XLOOKUP(Background!$C$2,Languages!$B$1:$D$1,_xlfn.XLOOKUP("REF_KYBERMITTARI",Languages!$A$2:$A$99,Languages!$B$2:$D$99))</f>
        <v>Kybermittari</v>
      </c>
      <c r="L7" s="126" t="s">
        <v>613</v>
      </c>
      <c r="M7" s="126" t="s">
        <v>12</v>
      </c>
      <c r="N7" s="127" t="s">
        <v>566</v>
      </c>
      <c r="O7" s="127" t="s">
        <v>590</v>
      </c>
      <c r="P7" s="127" t="s">
        <v>591</v>
      </c>
      <c r="Q7" s="127" t="s">
        <v>586</v>
      </c>
      <c r="R7" s="127" t="s">
        <v>611</v>
      </c>
      <c r="S7" s="127" t="s">
        <v>623</v>
      </c>
      <c r="T7" s="127" t="s">
        <v>612</v>
      </c>
      <c r="U7" s="127" t="s">
        <v>624</v>
      </c>
      <c r="V7" s="127" t="s">
        <v>759</v>
      </c>
      <c r="W7" s="127" t="s">
        <v>17</v>
      </c>
      <c r="X7" s="127" t="s">
        <v>18</v>
      </c>
      <c r="Y7" s="127" t="s">
        <v>573</v>
      </c>
      <c r="Z7" s="127" t="s">
        <v>580</v>
      </c>
      <c r="AA7" s="132" t="s">
        <v>603</v>
      </c>
      <c r="AB7" s="132" t="s">
        <v>588</v>
      </c>
      <c r="AC7" s="166" t="s">
        <v>753</v>
      </c>
      <c r="AD7" s="127" t="s">
        <v>754</v>
      </c>
      <c r="AE7" s="128" t="s">
        <v>755</v>
      </c>
      <c r="AF7" s="129"/>
    </row>
    <row r="8" spans="1:32" ht="210" x14ac:dyDescent="0.25">
      <c r="A8" s="71"/>
      <c r="B8" s="176">
        <v>1</v>
      </c>
      <c r="C8" s="177" t="s">
        <v>296</v>
      </c>
      <c r="D8" s="178" t="s">
        <v>384</v>
      </c>
      <c r="E8" s="179" t="s">
        <v>23</v>
      </c>
      <c r="F8" s="78" t="s">
        <v>384</v>
      </c>
      <c r="G8" s="180" t="s">
        <v>463</v>
      </c>
      <c r="H8" s="181" t="s">
        <v>427</v>
      </c>
      <c r="I8" s="133" t="s">
        <v>745</v>
      </c>
      <c r="J8" s="182" t="str" cm="1">
        <f t="array" ref="J8">_xlfn.XLOOKUP(Background!$C$2,Languages!$B$1:$D$1,_xlfn.XLOOKUP("REF_SUOSITUS_1.1",Languages!$A$2:$A$99,Languages!$B$2:$D$99))</f>
        <v xml:space="preserve">1.1 Kyberturvallisuuden riskienhallinnan toimintamalli  </v>
      </c>
      <c r="K8" s="133" t="s">
        <v>526</v>
      </c>
      <c r="L8" s="124" t="s">
        <v>9</v>
      </c>
      <c r="M8" s="124"/>
      <c r="N8" s="125" t="s">
        <v>567</v>
      </c>
      <c r="O8" s="125"/>
      <c r="P8" s="125"/>
      <c r="Q8" s="125"/>
      <c r="R8" s="125" t="s">
        <v>19</v>
      </c>
      <c r="S8" s="125" t="s">
        <v>743</v>
      </c>
      <c r="T8" s="125" t="s">
        <v>20</v>
      </c>
      <c r="U8" s="125" t="s">
        <v>707</v>
      </c>
      <c r="V8" s="125"/>
      <c r="W8" s="125" t="s">
        <v>21</v>
      </c>
      <c r="X8" s="125" t="s">
        <v>548</v>
      </c>
      <c r="Y8" s="125" t="s">
        <v>574</v>
      </c>
      <c r="Z8" s="125" t="s">
        <v>581</v>
      </c>
      <c r="AA8" s="125"/>
      <c r="AB8" s="125"/>
      <c r="AC8" s="125"/>
      <c r="AD8" s="125"/>
      <c r="AE8" s="165"/>
      <c r="AF8" s="129"/>
    </row>
    <row r="9" spans="1:32" ht="75" x14ac:dyDescent="0.25">
      <c r="A9" s="71"/>
      <c r="B9" s="119">
        <v>2</v>
      </c>
      <c r="C9" s="148" t="s">
        <v>296</v>
      </c>
      <c r="D9" s="79" t="s">
        <v>384</v>
      </c>
      <c r="E9" s="72" t="s">
        <v>23</v>
      </c>
      <c r="F9" s="72" t="s">
        <v>384</v>
      </c>
      <c r="G9" s="80" t="s">
        <v>463</v>
      </c>
      <c r="H9" s="106" t="s">
        <v>427</v>
      </c>
      <c r="I9" s="134" t="s">
        <v>745</v>
      </c>
      <c r="J9" s="73" t="str" cm="1">
        <f t="array" ref="J9">_xlfn.XLOOKUP(Background!$C$2,Languages!$B$1:$D$1,_xlfn.XLOOKUP("REF_SUOSITUS_1.1.1",Languages!$A$2:$A$99,Languages!$B$2:$D$99))</f>
        <v xml:space="preserve">1.1.1 Riskienhallinnan toimintamalli - laajennettu ohjeistus </v>
      </c>
      <c r="K9" s="134" t="s">
        <v>468</v>
      </c>
      <c r="L9" s="74" t="s">
        <v>10</v>
      </c>
      <c r="M9" s="74"/>
      <c r="N9" s="75" t="s">
        <v>568</v>
      </c>
      <c r="O9" s="75"/>
      <c r="P9" s="75"/>
      <c r="Q9" s="75"/>
      <c r="R9" s="75"/>
      <c r="S9" s="75" t="s">
        <v>626</v>
      </c>
      <c r="T9" s="75"/>
      <c r="U9" s="75"/>
      <c r="V9" s="75"/>
      <c r="W9" s="75" t="s">
        <v>24</v>
      </c>
      <c r="X9" s="75" t="s">
        <v>549</v>
      </c>
      <c r="Y9" s="75"/>
      <c r="Z9" s="75"/>
      <c r="AA9" s="75"/>
      <c r="AB9" s="75"/>
      <c r="AC9" s="75"/>
      <c r="AD9" s="75"/>
      <c r="AE9" s="76"/>
      <c r="AF9" s="71"/>
    </row>
    <row r="10" spans="1:32" ht="75" x14ac:dyDescent="0.25">
      <c r="A10" s="71"/>
      <c r="B10" s="119">
        <v>3</v>
      </c>
      <c r="C10" s="148" t="s">
        <v>296</v>
      </c>
      <c r="D10" s="79" t="s">
        <v>384</v>
      </c>
      <c r="E10" s="72" t="s">
        <v>27</v>
      </c>
      <c r="F10" s="72" t="s">
        <v>384</v>
      </c>
      <c r="G10" s="80" t="s">
        <v>463</v>
      </c>
      <c r="H10" s="106" t="s">
        <v>427</v>
      </c>
      <c r="I10" s="134" t="s">
        <v>745</v>
      </c>
      <c r="J10" s="73" t="str" cm="1">
        <f t="array" ref="J10">_xlfn.XLOOKUP(Background!$C$2,Languages!$B$1:$D$1,_xlfn.XLOOKUP("REF_SUOSITUS_1.2",Languages!$A$2:$A$99,Languages!$B$2:$D$99))</f>
        <v xml:space="preserve">1.2 Kaikki vaaratekijät huomioiva lähestymistapa  </v>
      </c>
      <c r="K10" s="134" t="s">
        <v>469</v>
      </c>
      <c r="L10" s="74" t="s">
        <v>11</v>
      </c>
      <c r="M10" s="74"/>
      <c r="N10" s="75" t="s">
        <v>6</v>
      </c>
      <c r="O10" s="75"/>
      <c r="P10" s="75"/>
      <c r="Q10" s="75"/>
      <c r="R10" s="75"/>
      <c r="S10" s="75" t="s">
        <v>627</v>
      </c>
      <c r="T10" s="75"/>
      <c r="U10" s="75"/>
      <c r="V10" s="75"/>
      <c r="W10" s="75" t="s">
        <v>25</v>
      </c>
      <c r="X10" s="75" t="s">
        <v>26</v>
      </c>
      <c r="Y10" s="75"/>
      <c r="Z10" s="75"/>
      <c r="AA10" s="75"/>
      <c r="AB10" s="75"/>
      <c r="AC10" s="75"/>
      <c r="AD10" s="75"/>
      <c r="AE10" s="76"/>
      <c r="AF10" s="71"/>
    </row>
    <row r="11" spans="1:32" ht="75" x14ac:dyDescent="0.25">
      <c r="A11" s="71"/>
      <c r="B11" s="119">
        <v>4</v>
      </c>
      <c r="C11" s="148" t="s">
        <v>297</v>
      </c>
      <c r="D11" s="79" t="s">
        <v>415</v>
      </c>
      <c r="E11" s="72" t="s">
        <v>30</v>
      </c>
      <c r="F11" s="72" t="s">
        <v>415</v>
      </c>
      <c r="G11" s="80" t="s">
        <v>269</v>
      </c>
      <c r="H11" s="106" t="s">
        <v>427</v>
      </c>
      <c r="I11" s="134" t="s">
        <v>745</v>
      </c>
      <c r="J11" s="73" t="str" cm="1">
        <f t="array" ref="J11">_xlfn.XLOOKUP(Background!$C$2,Languages!$B$1:$D$1,_xlfn.XLOOKUP("REF_SUOSITUS_1.3",Languages!$A$2:$A$99,Languages!$B$2:$D$99))</f>
        <v xml:space="preserve">1.3 Tarpeiden ja toimintojen tunnistaminen </v>
      </c>
      <c r="K11" s="134" t="s">
        <v>470</v>
      </c>
      <c r="L11" s="74" t="s">
        <v>527</v>
      </c>
      <c r="M11" s="74" t="s">
        <v>13</v>
      </c>
      <c r="N11" s="75" t="s">
        <v>569</v>
      </c>
      <c r="O11" s="75"/>
      <c r="P11" s="75"/>
      <c r="Q11" s="75"/>
      <c r="R11" s="75" t="s">
        <v>28</v>
      </c>
      <c r="S11" s="75" t="s">
        <v>663</v>
      </c>
      <c r="T11" s="75"/>
      <c r="U11" s="75"/>
      <c r="V11" s="75"/>
      <c r="W11" s="75" t="s">
        <v>29</v>
      </c>
      <c r="X11" s="75" t="s">
        <v>550</v>
      </c>
      <c r="Y11" s="75" t="s">
        <v>575</v>
      </c>
      <c r="Z11" s="75" t="s">
        <v>582</v>
      </c>
      <c r="AA11" s="75"/>
      <c r="AB11" s="75"/>
      <c r="AC11" s="75"/>
      <c r="AD11" s="75"/>
      <c r="AE11" s="76"/>
      <c r="AF11" s="71"/>
    </row>
    <row r="12" spans="1:32" ht="75" x14ac:dyDescent="0.25">
      <c r="A12" s="71"/>
      <c r="B12" s="119">
        <v>5</v>
      </c>
      <c r="C12" s="148" t="s">
        <v>298</v>
      </c>
      <c r="D12" s="79" t="s">
        <v>384</v>
      </c>
      <c r="E12" s="72"/>
      <c r="F12" s="72" t="s">
        <v>384</v>
      </c>
      <c r="G12" s="80" t="s">
        <v>463</v>
      </c>
      <c r="H12" s="106" t="s">
        <v>427</v>
      </c>
      <c r="I12" s="134" t="s">
        <v>745</v>
      </c>
      <c r="J12" s="73" t="str" cm="1">
        <f t="array" ref="J12">_xlfn.XLOOKUP(Background!$C$2,Languages!$B$1:$D$1,_xlfn.XLOOKUP("REF_SUOSITUS_1.4",Languages!$A$2:$A$99,Languages!$B$2:$D$99))</f>
        <v xml:space="preserve">1.4 Uhkien tunnistaminen  </v>
      </c>
      <c r="K12" s="134" t="s">
        <v>270</v>
      </c>
      <c r="L12" s="74"/>
      <c r="M12" s="74" t="s">
        <v>14</v>
      </c>
      <c r="N12" s="75" t="s">
        <v>570</v>
      </c>
      <c r="O12" s="75"/>
      <c r="P12" s="75"/>
      <c r="Q12" s="75"/>
      <c r="R12" s="75"/>
      <c r="S12" s="75" t="s">
        <v>744</v>
      </c>
      <c r="T12" s="75"/>
      <c r="U12" s="75"/>
      <c r="V12" s="75"/>
      <c r="W12" s="75" t="s">
        <v>31</v>
      </c>
      <c r="X12" s="75" t="s">
        <v>32</v>
      </c>
      <c r="Y12" s="75" t="s">
        <v>576</v>
      </c>
      <c r="Z12" s="75"/>
      <c r="AA12" s="75"/>
      <c r="AB12" s="75"/>
      <c r="AC12" s="75"/>
      <c r="AD12" s="75"/>
      <c r="AE12" s="76"/>
      <c r="AF12" s="71"/>
    </row>
    <row r="13" spans="1:32" ht="105" x14ac:dyDescent="0.25">
      <c r="A13" s="71"/>
      <c r="B13" s="119">
        <v>6</v>
      </c>
      <c r="C13" s="148" t="s">
        <v>298</v>
      </c>
      <c r="D13" s="79" t="s">
        <v>384</v>
      </c>
      <c r="E13" s="72"/>
      <c r="F13" s="72" t="s">
        <v>384</v>
      </c>
      <c r="G13" s="80" t="s">
        <v>463</v>
      </c>
      <c r="H13" s="106" t="s">
        <v>427</v>
      </c>
      <c r="I13" s="134" t="s">
        <v>745</v>
      </c>
      <c r="J13" s="73" t="str" cm="1">
        <f t="array" ref="J13">_xlfn.XLOOKUP(Background!$C$2,Languages!$B$1:$D$1,_xlfn.XLOOKUP("REF_SUOSITUS_1.4.1",Languages!$A$2:$A$99,Languages!$B$2:$D$99))</f>
        <v xml:space="preserve">1.4.1 Uhka-analyysi - laajennettu ohjeistus </v>
      </c>
      <c r="K13" s="134" t="s">
        <v>471</v>
      </c>
      <c r="L13" s="74"/>
      <c r="M13" s="74" t="s">
        <v>14</v>
      </c>
      <c r="N13" s="75" t="s">
        <v>570</v>
      </c>
      <c r="O13" s="75"/>
      <c r="P13" s="75"/>
      <c r="Q13" s="75"/>
      <c r="R13" s="75"/>
      <c r="S13" s="75" t="s">
        <v>627</v>
      </c>
      <c r="T13" s="75"/>
      <c r="U13" s="75"/>
      <c r="V13" s="75"/>
      <c r="W13" s="75" t="s">
        <v>33</v>
      </c>
      <c r="X13" s="75" t="s">
        <v>551</v>
      </c>
      <c r="Y13" s="75" t="s">
        <v>576</v>
      </c>
      <c r="Z13" s="75"/>
      <c r="AA13" s="75"/>
      <c r="AB13" s="75"/>
      <c r="AC13" s="75"/>
      <c r="AD13" s="75"/>
      <c r="AE13" s="76"/>
      <c r="AF13" s="71"/>
    </row>
    <row r="14" spans="1:32" ht="75" x14ac:dyDescent="0.25">
      <c r="A14" s="71"/>
      <c r="B14" s="119">
        <v>7</v>
      </c>
      <c r="C14" s="148" t="s">
        <v>296</v>
      </c>
      <c r="D14" s="79" t="s">
        <v>384</v>
      </c>
      <c r="E14" s="72" t="s">
        <v>23</v>
      </c>
      <c r="F14" s="72" t="s">
        <v>384</v>
      </c>
      <c r="G14" s="80" t="s">
        <v>463</v>
      </c>
      <c r="H14" s="106" t="s">
        <v>427</v>
      </c>
      <c r="I14" s="134" t="s">
        <v>745</v>
      </c>
      <c r="J14" s="73" t="str" cm="1">
        <f t="array" ref="J14">_xlfn.XLOOKUP(Background!$C$2,Languages!$B$1:$D$1,_xlfn.XLOOKUP("REF_SUOSITUS_1.5",Languages!$A$2:$A$99,Languages!$B$2:$D$99))</f>
        <v xml:space="preserve">1.5 Riskien käsittely  </v>
      </c>
      <c r="K14" s="134" t="s">
        <v>472</v>
      </c>
      <c r="L14" s="74" t="s">
        <v>528</v>
      </c>
      <c r="M14" s="74"/>
      <c r="N14" s="75" t="s">
        <v>571</v>
      </c>
      <c r="O14" s="75"/>
      <c r="P14" s="75"/>
      <c r="Q14" s="75"/>
      <c r="R14" s="75"/>
      <c r="S14" s="75" t="s">
        <v>743</v>
      </c>
      <c r="T14" s="75"/>
      <c r="U14" s="75"/>
      <c r="V14" s="75"/>
      <c r="W14" s="75" t="s">
        <v>34</v>
      </c>
      <c r="X14" s="75" t="s">
        <v>35</v>
      </c>
      <c r="Y14" s="75" t="s">
        <v>577</v>
      </c>
      <c r="Z14" s="75" t="s">
        <v>583</v>
      </c>
      <c r="AA14" s="75"/>
      <c r="AB14" s="75"/>
      <c r="AC14" s="75"/>
      <c r="AD14" s="75"/>
      <c r="AE14" s="76"/>
      <c r="AF14" s="71"/>
    </row>
    <row r="15" spans="1:32" ht="75" x14ac:dyDescent="0.25">
      <c r="A15" s="71"/>
      <c r="B15" s="119">
        <v>8</v>
      </c>
      <c r="C15" s="148" t="s">
        <v>296</v>
      </c>
      <c r="D15" s="79" t="s">
        <v>423</v>
      </c>
      <c r="E15" s="72" t="s">
        <v>39</v>
      </c>
      <c r="F15" s="72" t="s">
        <v>423</v>
      </c>
      <c r="G15" s="80" t="s">
        <v>466</v>
      </c>
      <c r="H15" s="106" t="s">
        <v>427</v>
      </c>
      <c r="I15" s="134" t="s">
        <v>745</v>
      </c>
      <c r="J15" s="73" t="str" cm="1">
        <f t="array" ref="J15">_xlfn.XLOOKUP(Background!$C$2,Languages!$B$1:$D$1,_xlfn.XLOOKUP("REF_SUOSITUS_1.6",Languages!$A$2:$A$99,Languages!$B$2:$D$99))</f>
        <v xml:space="preserve">1.6 Riskienhallinnan vaikuttavuuden arviointi ja mittaristo  </v>
      </c>
      <c r="K15" s="134" t="s">
        <v>473</v>
      </c>
      <c r="L15" s="74" t="s">
        <v>614</v>
      </c>
      <c r="M15" s="74" t="s">
        <v>15</v>
      </c>
      <c r="N15" s="75" t="s">
        <v>572</v>
      </c>
      <c r="O15" s="75"/>
      <c r="P15" s="75"/>
      <c r="Q15" s="75"/>
      <c r="R15" s="75" t="s">
        <v>36</v>
      </c>
      <c r="S15" s="75" t="s">
        <v>743</v>
      </c>
      <c r="T15" s="75"/>
      <c r="U15" s="75"/>
      <c r="V15" s="75" t="s">
        <v>760</v>
      </c>
      <c r="W15" s="75" t="s">
        <v>37</v>
      </c>
      <c r="X15" s="75" t="s">
        <v>38</v>
      </c>
      <c r="Y15" s="77" t="s">
        <v>2</v>
      </c>
      <c r="Z15" s="75" t="s">
        <v>584</v>
      </c>
      <c r="AA15" s="75"/>
      <c r="AB15" s="75"/>
      <c r="AC15" s="75"/>
      <c r="AD15" s="75"/>
      <c r="AE15" s="76"/>
      <c r="AF15" s="71"/>
    </row>
    <row r="16" spans="1:32" ht="75" x14ac:dyDescent="0.25">
      <c r="A16" s="71"/>
      <c r="B16" s="119">
        <v>9</v>
      </c>
      <c r="C16" s="148" t="s">
        <v>296</v>
      </c>
      <c r="D16" s="79" t="s">
        <v>422</v>
      </c>
      <c r="E16" s="72" t="s">
        <v>39</v>
      </c>
      <c r="F16" s="72" t="s">
        <v>422</v>
      </c>
      <c r="G16" s="80" t="s">
        <v>439</v>
      </c>
      <c r="H16" s="106" t="s">
        <v>427</v>
      </c>
      <c r="I16" s="134" t="s">
        <v>745</v>
      </c>
      <c r="J16" s="73" t="str" cm="1">
        <f t="array" ref="J16">_xlfn.XLOOKUP(Background!$C$2,Languages!$B$1:$D$1,_xlfn.XLOOKUP("REF_SUOSITUS_1.6",Languages!$A$2:$A$99,Languages!$B$2:$D$99))</f>
        <v xml:space="preserve">1.6 Riskienhallinnan vaikuttavuuden arviointi ja mittaristo  </v>
      </c>
      <c r="K16" s="134" t="s">
        <v>473</v>
      </c>
      <c r="L16" s="74" t="s">
        <v>529</v>
      </c>
      <c r="M16" s="74" t="s">
        <v>15</v>
      </c>
      <c r="N16" s="75" t="s">
        <v>572</v>
      </c>
      <c r="O16" s="75"/>
      <c r="P16" s="75"/>
      <c r="Q16" s="75"/>
      <c r="R16" s="75" t="s">
        <v>36</v>
      </c>
      <c r="S16" s="75" t="s">
        <v>743</v>
      </c>
      <c r="T16" s="75"/>
      <c r="U16" s="75"/>
      <c r="V16" s="75" t="s">
        <v>760</v>
      </c>
      <c r="W16" s="75" t="s">
        <v>37</v>
      </c>
      <c r="X16" s="75" t="s">
        <v>38</v>
      </c>
      <c r="Y16" s="77" t="s">
        <v>2</v>
      </c>
      <c r="Z16" s="75" t="s">
        <v>584</v>
      </c>
      <c r="AA16" s="75"/>
      <c r="AB16" s="75"/>
      <c r="AC16" s="75"/>
      <c r="AD16" s="75"/>
      <c r="AE16" s="76"/>
      <c r="AF16" s="71"/>
    </row>
    <row r="17" spans="1:32" ht="75" x14ac:dyDescent="0.25">
      <c r="A17" s="71"/>
      <c r="B17" s="119">
        <v>10</v>
      </c>
      <c r="C17" s="148" t="s">
        <v>296</v>
      </c>
      <c r="D17" s="79" t="s">
        <v>385</v>
      </c>
      <c r="E17" s="72" t="s">
        <v>43</v>
      </c>
      <c r="F17" s="72" t="s">
        <v>385</v>
      </c>
      <c r="G17" s="80" t="s">
        <v>466</v>
      </c>
      <c r="H17" s="106" t="s">
        <v>427</v>
      </c>
      <c r="I17" s="134" t="s">
        <v>745</v>
      </c>
      <c r="J17" s="73" t="str" cm="1">
        <f t="array" ref="J17">_xlfn.XLOOKUP(Background!$C$2,Languages!$B$1:$D$1,_xlfn.XLOOKUP("REF_SUOSITUS_1.6.1",Languages!$A$2:$A$99,Languages!$B$2:$D$99))</f>
        <v xml:space="preserve">1.6.1 Riskienhallinnan vaikuttavuuden arviointi ja mittaristo - laajennettu ohjeistus  </v>
      </c>
      <c r="K17" s="134" t="s">
        <v>474</v>
      </c>
      <c r="L17" s="74" t="s">
        <v>615</v>
      </c>
      <c r="M17" s="74" t="s">
        <v>16</v>
      </c>
      <c r="N17" s="75" t="s">
        <v>572</v>
      </c>
      <c r="O17" s="75"/>
      <c r="P17" s="75"/>
      <c r="Q17" s="75"/>
      <c r="R17" s="75" t="s">
        <v>40</v>
      </c>
      <c r="S17" s="75" t="s">
        <v>625</v>
      </c>
      <c r="T17" s="75"/>
      <c r="U17" s="75"/>
      <c r="V17" s="75" t="s">
        <v>760</v>
      </c>
      <c r="W17" s="75" t="s">
        <v>41</v>
      </c>
      <c r="X17" s="75" t="s">
        <v>42</v>
      </c>
      <c r="Y17" s="75"/>
      <c r="Z17" s="75"/>
      <c r="AA17" s="75"/>
      <c r="AB17" s="75"/>
      <c r="AC17" s="75"/>
      <c r="AD17" s="75"/>
      <c r="AE17" s="76"/>
      <c r="AF17" s="71"/>
    </row>
    <row r="18" spans="1:32" ht="75" x14ac:dyDescent="0.25">
      <c r="A18" s="71"/>
      <c r="B18" s="119">
        <v>11</v>
      </c>
      <c r="C18" s="149" t="s">
        <v>298</v>
      </c>
      <c r="D18" s="81" t="s">
        <v>420</v>
      </c>
      <c r="E18" s="2" t="s">
        <v>48</v>
      </c>
      <c r="F18" s="2" t="s">
        <v>420</v>
      </c>
      <c r="G18" s="82" t="s">
        <v>464</v>
      </c>
      <c r="H18" s="107" t="s">
        <v>428</v>
      </c>
      <c r="I18" s="135" t="s">
        <v>746</v>
      </c>
      <c r="J18" s="3" t="str" cm="1">
        <f t="array" ref="J18">_xlfn.XLOOKUP(Background!$C$2,Languages!$B$1:$D$1,_xlfn.XLOOKUP("REF_SUOSITUS_2.1",Languages!$A$2:$A$99,Languages!$B$2:$D$99))</f>
        <v xml:space="preserve">2.1 Turvallisuutta koskevat toimintaperiaatteet ja menettelyt  </v>
      </c>
      <c r="K18" s="135" t="s">
        <v>475</v>
      </c>
      <c r="L18" s="4" t="s">
        <v>530</v>
      </c>
      <c r="M18" s="4" t="s">
        <v>46</v>
      </c>
      <c r="N18" s="5"/>
      <c r="O18" s="5"/>
      <c r="P18" s="5"/>
      <c r="Q18" s="5"/>
      <c r="R18" s="5" t="s">
        <v>44</v>
      </c>
      <c r="S18" s="5" t="s">
        <v>713</v>
      </c>
      <c r="T18" s="5" t="s">
        <v>45</v>
      </c>
      <c r="U18" s="5" t="s">
        <v>664</v>
      </c>
      <c r="V18" s="5"/>
      <c r="W18" s="5" t="s">
        <v>47</v>
      </c>
      <c r="X18" s="5" t="s">
        <v>552</v>
      </c>
      <c r="Y18" s="5"/>
      <c r="Z18" s="5"/>
      <c r="AA18" s="5"/>
      <c r="AB18" s="5"/>
      <c r="AC18" s="5"/>
      <c r="AD18" s="5"/>
      <c r="AE18" s="55"/>
      <c r="AF18" s="71"/>
    </row>
    <row r="19" spans="1:32" ht="60" x14ac:dyDescent="0.25">
      <c r="A19" s="71"/>
      <c r="B19" s="119">
        <v>12</v>
      </c>
      <c r="C19" s="149" t="s">
        <v>298</v>
      </c>
      <c r="D19" s="81" t="s">
        <v>420</v>
      </c>
      <c r="E19" s="2" t="s">
        <v>48</v>
      </c>
      <c r="F19" s="2" t="s">
        <v>420</v>
      </c>
      <c r="G19" s="82" t="s">
        <v>464</v>
      </c>
      <c r="H19" s="107" t="s">
        <v>428</v>
      </c>
      <c r="I19" s="135" t="s">
        <v>746</v>
      </c>
      <c r="J19" s="3" t="str" cm="1">
        <f t="array" ref="J19">_xlfn.XLOOKUP(Background!$C$2,Languages!$B$1:$D$1,_xlfn.XLOOKUP("REF_SUOSITUS_2.1.1",Languages!$A$2:$A$99,Languages!$B$2:$D$99))</f>
        <v>2.1.1 Turvallisuutta koskevat toimintaperiaatteet ja menettelyt - laajennettu ohjeistus</v>
      </c>
      <c r="K19" s="135" t="s">
        <v>476</v>
      </c>
      <c r="L19" s="4"/>
      <c r="M19" s="4" t="s">
        <v>49</v>
      </c>
      <c r="N19" s="5"/>
      <c r="O19" s="5"/>
      <c r="P19" s="5"/>
      <c r="Q19" s="5"/>
      <c r="R19" s="5"/>
      <c r="S19" s="5" t="s">
        <v>711</v>
      </c>
      <c r="T19" s="5"/>
      <c r="U19" s="5"/>
      <c r="V19" s="5"/>
      <c r="W19" s="5" t="s">
        <v>50</v>
      </c>
      <c r="X19" s="5" t="s">
        <v>51</v>
      </c>
      <c r="Y19" s="5"/>
      <c r="Z19" s="5"/>
      <c r="AA19" s="5"/>
      <c r="AB19" s="5"/>
      <c r="AC19" s="5"/>
      <c r="AD19" s="5"/>
      <c r="AE19" s="55"/>
      <c r="AF19" s="71"/>
    </row>
    <row r="20" spans="1:32" ht="90" x14ac:dyDescent="0.25">
      <c r="A20" s="71"/>
      <c r="B20" s="119">
        <v>13</v>
      </c>
      <c r="C20" s="149" t="s">
        <v>298</v>
      </c>
      <c r="D20" s="81" t="s">
        <v>421</v>
      </c>
      <c r="E20" s="2" t="s">
        <v>55</v>
      </c>
      <c r="F20" s="2" t="s">
        <v>421</v>
      </c>
      <c r="G20" s="82" t="s">
        <v>440</v>
      </c>
      <c r="H20" s="107" t="s">
        <v>428</v>
      </c>
      <c r="I20" s="135" t="s">
        <v>746</v>
      </c>
      <c r="J20" s="3" t="str" cm="1">
        <f t="array" ref="J20">_xlfn.XLOOKUP(Background!$C$2,Languages!$B$1:$D$1,_xlfn.XLOOKUP("REF_SUOSITUS_2.2",Languages!$A$2:$A$99,Languages!$B$2:$D$99))</f>
        <v xml:space="preserve">2.2 Henkilöstön sitouttaminen </v>
      </c>
      <c r="K20" s="135" t="s">
        <v>477</v>
      </c>
      <c r="L20" s="4" t="s">
        <v>531</v>
      </c>
      <c r="M20" s="4" t="s">
        <v>52</v>
      </c>
      <c r="N20" s="5"/>
      <c r="O20" s="5"/>
      <c r="P20" s="5"/>
      <c r="Q20" s="5"/>
      <c r="R20" s="5"/>
      <c r="S20" s="5" t="s">
        <v>714</v>
      </c>
      <c r="T20" s="5"/>
      <c r="U20" s="5"/>
      <c r="V20" s="5"/>
      <c r="W20" s="5" t="s">
        <v>53</v>
      </c>
      <c r="X20" s="5" t="s">
        <v>54</v>
      </c>
      <c r="Y20" s="5"/>
      <c r="Z20" s="5"/>
      <c r="AA20" s="5"/>
      <c r="AB20" s="5"/>
      <c r="AC20" s="5"/>
      <c r="AD20" s="5"/>
      <c r="AE20" s="55"/>
      <c r="AF20" s="71"/>
    </row>
    <row r="21" spans="1:32" ht="60" x14ac:dyDescent="0.25">
      <c r="A21" s="71"/>
      <c r="B21" s="119">
        <v>14</v>
      </c>
      <c r="C21" s="149" t="s">
        <v>298</v>
      </c>
      <c r="D21" s="81" t="s">
        <v>420</v>
      </c>
      <c r="E21" s="2" t="s">
        <v>48</v>
      </c>
      <c r="F21" s="2" t="s">
        <v>420</v>
      </c>
      <c r="G21" s="82" t="s">
        <v>464</v>
      </c>
      <c r="H21" s="107" t="s">
        <v>428</v>
      </c>
      <c r="I21" s="135" t="s">
        <v>746</v>
      </c>
      <c r="J21" s="3" t="str" cm="1">
        <f t="array" ref="J21">_xlfn.XLOOKUP(Background!$C$2,Languages!$B$1:$D$1,_xlfn.XLOOKUP("REF_SUOSITUS_2.3",Languages!$A$2:$A$99,Languages!$B$2:$D$99))</f>
        <v xml:space="preserve">2.3 Turvallisuusmenettelyiden valinta  </v>
      </c>
      <c r="K21" s="135" t="s">
        <v>271</v>
      </c>
      <c r="L21" s="4"/>
      <c r="M21" s="4" t="s">
        <v>56</v>
      </c>
      <c r="N21" s="5"/>
      <c r="O21" s="5"/>
      <c r="P21" s="5"/>
      <c r="Q21" s="5"/>
      <c r="R21" s="5"/>
      <c r="S21" s="5" t="s">
        <v>627</v>
      </c>
      <c r="T21" s="5"/>
      <c r="U21" s="5"/>
      <c r="V21" s="5"/>
      <c r="W21" s="5" t="s">
        <v>57</v>
      </c>
      <c r="X21" s="5" t="s">
        <v>616</v>
      </c>
      <c r="Y21" s="5"/>
      <c r="Z21" s="5"/>
      <c r="AA21" s="5"/>
      <c r="AB21" s="5"/>
      <c r="AC21" s="5"/>
      <c r="AD21" s="5"/>
      <c r="AE21" s="55"/>
      <c r="AF21" s="71"/>
    </row>
    <row r="22" spans="1:32" ht="90" x14ac:dyDescent="0.25">
      <c r="A22" s="71"/>
      <c r="B22" s="119">
        <v>15</v>
      </c>
      <c r="C22" s="150" t="s">
        <v>299</v>
      </c>
      <c r="D22" s="83" t="s">
        <v>420</v>
      </c>
      <c r="E22" s="6"/>
      <c r="F22" s="6" t="s">
        <v>420</v>
      </c>
      <c r="G22" s="84" t="s">
        <v>464</v>
      </c>
      <c r="H22" s="108" t="s">
        <v>432</v>
      </c>
      <c r="I22" s="136" t="s">
        <v>747</v>
      </c>
      <c r="J22" s="7" t="str" cm="1">
        <f t="array" ref="J22">_xlfn.XLOOKUP(Background!$C$2,Languages!$B$1:$D$1,_xlfn.XLOOKUP("REF_SUOSITUS_3.1",Languages!$A$2:$A$99,Languages!$B$2:$D$99))</f>
        <v>3.1 Viestintäverkkojen ja tietojärjestelmien suojaus elinkaaren ajan</v>
      </c>
      <c r="K22" s="136" t="s">
        <v>478</v>
      </c>
      <c r="L22" s="8"/>
      <c r="M22" s="8"/>
      <c r="N22" s="9"/>
      <c r="O22" s="9"/>
      <c r="P22" s="9"/>
      <c r="Q22" s="9"/>
      <c r="R22" s="10"/>
      <c r="S22" s="9" t="s">
        <v>715</v>
      </c>
      <c r="T22" s="9"/>
      <c r="U22" s="9"/>
      <c r="V22" s="9"/>
      <c r="W22" s="9" t="s">
        <v>58</v>
      </c>
      <c r="X22" s="9" t="s">
        <v>59</v>
      </c>
      <c r="Y22" s="9" t="s">
        <v>578</v>
      </c>
      <c r="Z22" s="9" t="s">
        <v>617</v>
      </c>
      <c r="AA22" s="9"/>
      <c r="AB22" s="9"/>
      <c r="AC22" s="9"/>
      <c r="AD22" s="9"/>
      <c r="AE22" s="56"/>
      <c r="AF22" s="71"/>
    </row>
    <row r="23" spans="1:32" ht="90" x14ac:dyDescent="0.25">
      <c r="A23" s="71"/>
      <c r="B23" s="119">
        <v>16</v>
      </c>
      <c r="C23" s="151" t="s">
        <v>299</v>
      </c>
      <c r="D23" s="85" t="s">
        <v>398</v>
      </c>
      <c r="E23" s="9" t="s">
        <v>92</v>
      </c>
      <c r="F23" s="9" t="s">
        <v>398</v>
      </c>
      <c r="G23" s="56" t="s">
        <v>276</v>
      </c>
      <c r="H23" s="85" t="s">
        <v>432</v>
      </c>
      <c r="I23" s="136" t="s">
        <v>747</v>
      </c>
      <c r="J23" s="11" t="str" cm="1">
        <f t="array" ref="J23">_xlfn.XLOOKUP(Background!$C$2,Languages!$B$1:$D$1,_xlfn.XLOOKUP("REF_SUOSITUS_3.1.1",Languages!$A$2:$A$99,Languages!$B$2:$D$99))</f>
        <v>3.1.1 Turvallinen tuotekehitys - laajennettu ohjeistus</v>
      </c>
      <c r="K23" s="136" t="s">
        <v>276</v>
      </c>
      <c r="L23" s="8"/>
      <c r="M23" s="8" t="s">
        <v>532</v>
      </c>
      <c r="N23" s="9"/>
      <c r="O23" s="9"/>
      <c r="P23" s="9"/>
      <c r="Q23" s="9"/>
      <c r="R23" s="9" t="s">
        <v>88</v>
      </c>
      <c r="S23" s="9" t="s">
        <v>709</v>
      </c>
      <c r="T23" s="9"/>
      <c r="U23" s="9"/>
      <c r="V23" s="9"/>
      <c r="W23" s="9" t="s">
        <v>91</v>
      </c>
      <c r="X23" s="9" t="s">
        <v>90</v>
      </c>
      <c r="Y23" s="9"/>
      <c r="Z23" s="9"/>
      <c r="AA23" s="9"/>
      <c r="AB23" s="9"/>
      <c r="AC23" s="9"/>
      <c r="AD23" s="9"/>
      <c r="AE23" s="56"/>
      <c r="AF23" s="71"/>
    </row>
    <row r="24" spans="1:32" ht="90" x14ac:dyDescent="0.25">
      <c r="A24" s="71"/>
      <c r="B24" s="119">
        <v>17</v>
      </c>
      <c r="C24" s="150" t="s">
        <v>299</v>
      </c>
      <c r="D24" s="83" t="s">
        <v>397</v>
      </c>
      <c r="E24" s="6" t="s">
        <v>64</v>
      </c>
      <c r="F24" s="6" t="s">
        <v>397</v>
      </c>
      <c r="G24" s="84" t="s">
        <v>272</v>
      </c>
      <c r="H24" s="108" t="s">
        <v>432</v>
      </c>
      <c r="I24" s="136" t="s">
        <v>747</v>
      </c>
      <c r="J24" s="7" t="str" cm="1">
        <f t="array" ref="J24">_xlfn.XLOOKUP(Background!$C$2,Languages!$B$1:$D$1,_xlfn.XLOOKUP("REF_SUOSITUS_3.2",Languages!$A$2:$A$99,Languages!$B$2:$D$99))</f>
        <v xml:space="preserve">3.2 Hankinnan kohteen turvallisuus  </v>
      </c>
      <c r="K24" s="136" t="s">
        <v>479</v>
      </c>
      <c r="L24" s="8"/>
      <c r="M24" s="8" t="s">
        <v>61</v>
      </c>
      <c r="N24" s="9"/>
      <c r="O24" s="9"/>
      <c r="P24" s="9"/>
      <c r="Q24" s="9"/>
      <c r="R24" s="9" t="s">
        <v>60</v>
      </c>
      <c r="S24" s="9" t="s">
        <v>716</v>
      </c>
      <c r="T24" s="9"/>
      <c r="U24" s="9"/>
      <c r="V24" s="9" t="s">
        <v>761</v>
      </c>
      <c r="W24" s="9" t="s">
        <v>62</v>
      </c>
      <c r="X24" s="9" t="s">
        <v>63</v>
      </c>
      <c r="Y24" s="9"/>
      <c r="Z24" s="9"/>
      <c r="AA24" s="9"/>
      <c r="AB24" s="163" t="s">
        <v>0</v>
      </c>
      <c r="AC24" s="163"/>
      <c r="AD24" s="163"/>
      <c r="AE24" s="130"/>
      <c r="AF24" s="71"/>
    </row>
    <row r="25" spans="1:32" ht="210" x14ac:dyDescent="0.25">
      <c r="A25" s="71"/>
      <c r="B25" s="119">
        <v>18</v>
      </c>
      <c r="C25" s="150" t="s">
        <v>299</v>
      </c>
      <c r="D25" s="83" t="s">
        <v>399</v>
      </c>
      <c r="E25" s="6" t="s">
        <v>68</v>
      </c>
      <c r="F25" s="6" t="s">
        <v>399</v>
      </c>
      <c r="G25" s="84" t="s">
        <v>441</v>
      </c>
      <c r="H25" s="108" t="s">
        <v>432</v>
      </c>
      <c r="I25" s="136" t="s">
        <v>747</v>
      </c>
      <c r="J25" s="7" t="str" cm="1">
        <f t="array" ref="J25">_xlfn.XLOOKUP(Background!$C$2,Languages!$B$1:$D$1,_xlfn.XLOOKUP("REF_SUOSITUS_3.3",Languages!$A$2:$A$99,Languages!$B$2:$D$99))</f>
        <v xml:space="preserve">3.3 Järjestelmäkovennukset  </v>
      </c>
      <c r="K25" s="136" t="s">
        <v>480</v>
      </c>
      <c r="L25" s="8"/>
      <c r="M25" s="8" t="s">
        <v>533</v>
      </c>
      <c r="N25" s="9"/>
      <c r="O25" s="9"/>
      <c r="P25" s="9"/>
      <c r="Q25" s="9"/>
      <c r="R25" s="9"/>
      <c r="S25" s="9" t="s">
        <v>717</v>
      </c>
      <c r="T25" s="9" t="s">
        <v>65</v>
      </c>
      <c r="U25" s="9" t="s">
        <v>718</v>
      </c>
      <c r="V25" s="9" t="s">
        <v>762</v>
      </c>
      <c r="W25" s="9" t="s">
        <v>66</v>
      </c>
      <c r="X25" s="9" t="s">
        <v>67</v>
      </c>
      <c r="Y25" s="9"/>
      <c r="Z25" s="9"/>
      <c r="AA25" s="9"/>
      <c r="AB25" s="9"/>
      <c r="AC25" s="9"/>
      <c r="AD25" s="9"/>
      <c r="AE25" s="56"/>
      <c r="AF25" s="71"/>
    </row>
    <row r="26" spans="1:32" ht="210" x14ac:dyDescent="0.25">
      <c r="A26" s="71"/>
      <c r="B26" s="119">
        <v>19</v>
      </c>
      <c r="C26" s="150" t="s">
        <v>299</v>
      </c>
      <c r="D26" s="83" t="s">
        <v>399</v>
      </c>
      <c r="E26" s="6" t="s">
        <v>68</v>
      </c>
      <c r="F26" s="6" t="s">
        <v>399</v>
      </c>
      <c r="G26" s="84" t="s">
        <v>441</v>
      </c>
      <c r="H26" s="108" t="s">
        <v>432</v>
      </c>
      <c r="I26" s="136" t="s">
        <v>747</v>
      </c>
      <c r="J26" s="7" t="str" cm="1">
        <f t="array" ref="J26">_xlfn.XLOOKUP(Background!$C$2,Languages!$B$1:$D$1,_xlfn.XLOOKUP("REF_SUOSITUS_3.3.1",Languages!$A$2:$A$99,Languages!$B$2:$D$99))</f>
        <v xml:space="preserve">3.3.1 Järjestelmäkovennukset viestintäverkkoon ja tietojärjestelmään toteutetaan järjestelmällisesti ja kattavasti - laajennettu ohjeistus </v>
      </c>
      <c r="K26" s="136" t="s">
        <v>481</v>
      </c>
      <c r="L26" s="8"/>
      <c r="M26" s="8" t="s">
        <v>533</v>
      </c>
      <c r="N26" s="9"/>
      <c r="O26" s="9"/>
      <c r="P26" s="9"/>
      <c r="Q26" s="9"/>
      <c r="R26" s="9"/>
      <c r="S26" s="9" t="s">
        <v>719</v>
      </c>
      <c r="T26" s="9" t="s">
        <v>65</v>
      </c>
      <c r="U26" s="9" t="s">
        <v>718</v>
      </c>
      <c r="V26" s="9" t="s">
        <v>762</v>
      </c>
      <c r="W26" s="9" t="s">
        <v>66</v>
      </c>
      <c r="X26" s="9" t="s">
        <v>553</v>
      </c>
      <c r="Y26" s="9"/>
      <c r="Z26" s="9"/>
      <c r="AA26" s="9"/>
      <c r="AB26" s="9"/>
      <c r="AC26" s="9"/>
      <c r="AD26" s="9"/>
      <c r="AE26" s="56"/>
      <c r="AF26" s="71"/>
    </row>
    <row r="27" spans="1:32" ht="90" x14ac:dyDescent="0.25">
      <c r="A27" s="71"/>
      <c r="B27" s="119">
        <v>20</v>
      </c>
      <c r="C27" s="150" t="s">
        <v>299</v>
      </c>
      <c r="D27" s="83" t="s">
        <v>400</v>
      </c>
      <c r="E27" s="6" t="s">
        <v>71</v>
      </c>
      <c r="F27" s="6" t="s">
        <v>400</v>
      </c>
      <c r="G27" s="84" t="s">
        <v>442</v>
      </c>
      <c r="H27" s="108" t="s">
        <v>432</v>
      </c>
      <c r="I27" s="136" t="s">
        <v>747</v>
      </c>
      <c r="J27" s="7" t="str" cm="1">
        <f t="array" ref="J27">_xlfn.XLOOKUP(Background!$C$2,Languages!$B$1:$D$1,_xlfn.XLOOKUP("REF_SUOSITUS_3.4",Languages!$A$2:$A$99,Languages!$B$2:$D$99))</f>
        <v xml:space="preserve">3.4 Muutosten ja päivitysten hallinta  </v>
      </c>
      <c r="K27" s="136" t="s">
        <v>482</v>
      </c>
      <c r="L27" s="8" t="s">
        <v>534</v>
      </c>
      <c r="M27" s="8" t="s">
        <v>535</v>
      </c>
      <c r="N27" s="9"/>
      <c r="O27" s="9"/>
      <c r="P27" s="9"/>
      <c r="Q27" s="9"/>
      <c r="R27" s="9" t="s">
        <v>69</v>
      </c>
      <c r="S27" s="9" t="s">
        <v>629</v>
      </c>
      <c r="T27" s="9"/>
      <c r="U27" s="9" t="s">
        <v>667</v>
      </c>
      <c r="V27" s="9" t="s">
        <v>763</v>
      </c>
      <c r="W27" s="9" t="s">
        <v>70</v>
      </c>
      <c r="X27" s="9" t="s">
        <v>97</v>
      </c>
      <c r="Y27" s="9"/>
      <c r="Z27" s="9"/>
      <c r="AA27" s="9"/>
      <c r="AB27" s="9"/>
      <c r="AC27" s="9"/>
      <c r="AD27" s="9"/>
      <c r="AE27" s="56"/>
      <c r="AF27" s="71"/>
    </row>
    <row r="28" spans="1:32" ht="180" x14ac:dyDescent="0.25">
      <c r="A28" s="71"/>
      <c r="B28" s="119">
        <v>21</v>
      </c>
      <c r="C28" s="150" t="s">
        <v>299</v>
      </c>
      <c r="D28" s="83" t="s">
        <v>402</v>
      </c>
      <c r="E28" s="6" t="s">
        <v>76</v>
      </c>
      <c r="F28" s="6" t="s">
        <v>402</v>
      </c>
      <c r="G28" s="84" t="s">
        <v>508</v>
      </c>
      <c r="H28" s="108" t="s">
        <v>432</v>
      </c>
      <c r="I28" s="136" t="s">
        <v>747</v>
      </c>
      <c r="J28" s="7" t="str" cm="1">
        <f t="array" ref="J28">_xlfn.XLOOKUP(Background!$C$2,Languages!$B$1:$D$1,_xlfn.XLOOKUP("REF_SUOSITUS_3.4.1",Languages!$A$2:$A$99,Languages!$B$2:$D$99))</f>
        <v xml:space="preserve">3.4.1 Muutosten ja päivitysten hallinta on järjestelmällistä - laajennettu ohjeistus  </v>
      </c>
      <c r="K28" s="136" t="s">
        <v>273</v>
      </c>
      <c r="L28" s="8" t="s">
        <v>534</v>
      </c>
      <c r="M28" s="8" t="s">
        <v>74</v>
      </c>
      <c r="N28" s="9"/>
      <c r="O28" s="9"/>
      <c r="P28" s="9"/>
      <c r="Q28" s="9"/>
      <c r="R28" s="9" t="s">
        <v>72</v>
      </c>
      <c r="S28" s="9" t="s">
        <v>708</v>
      </c>
      <c r="T28" s="9" t="s">
        <v>73</v>
      </c>
      <c r="U28" s="9" t="s">
        <v>665</v>
      </c>
      <c r="V28" s="9" t="s">
        <v>763</v>
      </c>
      <c r="W28" s="9" t="s">
        <v>75</v>
      </c>
      <c r="X28" s="9" t="s">
        <v>618</v>
      </c>
      <c r="Y28" s="9"/>
      <c r="Z28" s="9"/>
      <c r="AA28" s="9"/>
      <c r="AB28" s="9"/>
      <c r="AC28" s="9"/>
      <c r="AD28" s="9"/>
      <c r="AE28" s="56"/>
      <c r="AF28" s="71"/>
    </row>
    <row r="29" spans="1:32" ht="210" x14ac:dyDescent="0.25">
      <c r="A29" s="71"/>
      <c r="B29" s="119">
        <v>22</v>
      </c>
      <c r="C29" s="150" t="s">
        <v>299</v>
      </c>
      <c r="D29" s="83" t="s">
        <v>401</v>
      </c>
      <c r="E29" s="6" t="s">
        <v>81</v>
      </c>
      <c r="F29" s="6" t="s">
        <v>401</v>
      </c>
      <c r="G29" s="84" t="s">
        <v>274</v>
      </c>
      <c r="H29" s="108" t="s">
        <v>432</v>
      </c>
      <c r="I29" s="136" t="s">
        <v>747</v>
      </c>
      <c r="J29" s="7" t="str" cm="1">
        <f t="array" ref="J29">_xlfn.XLOOKUP(Background!$C$2,Languages!$B$1:$D$1,_xlfn.XLOOKUP("REF_SUOSITUS_3.5",Languages!$A$2:$A$99,Languages!$B$2:$D$99))</f>
        <v xml:space="preserve">3.5 Turvallisuuden testaus </v>
      </c>
      <c r="K29" s="136" t="s">
        <v>483</v>
      </c>
      <c r="L29" s="8"/>
      <c r="M29" s="8" t="s">
        <v>78</v>
      </c>
      <c r="N29" s="9"/>
      <c r="O29" s="9"/>
      <c r="P29" s="9"/>
      <c r="Q29" s="9"/>
      <c r="R29" s="9" t="s">
        <v>77</v>
      </c>
      <c r="S29" s="9" t="s">
        <v>720</v>
      </c>
      <c r="T29" s="9" t="s">
        <v>83</v>
      </c>
      <c r="U29" s="9" t="s">
        <v>721</v>
      </c>
      <c r="V29" s="9" t="s">
        <v>764</v>
      </c>
      <c r="W29" s="9" t="s">
        <v>79</v>
      </c>
      <c r="X29" s="9" t="s">
        <v>80</v>
      </c>
      <c r="Y29" s="9"/>
      <c r="Z29" s="9"/>
      <c r="AA29" s="9"/>
      <c r="AB29" s="9"/>
      <c r="AC29" s="9"/>
      <c r="AD29" s="9"/>
      <c r="AE29" s="56"/>
      <c r="AF29" s="71"/>
    </row>
    <row r="30" spans="1:32" ht="90" x14ac:dyDescent="0.25">
      <c r="A30" s="71"/>
      <c r="B30" s="119">
        <v>23</v>
      </c>
      <c r="C30" s="150" t="s">
        <v>299</v>
      </c>
      <c r="D30" s="83" t="s">
        <v>404</v>
      </c>
      <c r="E30" s="6" t="s">
        <v>87</v>
      </c>
      <c r="F30" s="6" t="s">
        <v>404</v>
      </c>
      <c r="G30" s="84" t="s">
        <v>291</v>
      </c>
      <c r="H30" s="108" t="s">
        <v>432</v>
      </c>
      <c r="I30" s="136" t="s">
        <v>747</v>
      </c>
      <c r="J30" s="7" t="str" cm="1">
        <f t="array" ref="J30">_xlfn.XLOOKUP(Background!$C$2,Languages!$B$1:$D$1,_xlfn.XLOOKUP("REF_SUOSITUS_3.6",Languages!$A$2:$A$99,Languages!$B$2:$D$99))</f>
        <v xml:space="preserve">3.6 Haavoittuvuuksien käsittely ja julkistaminen  </v>
      </c>
      <c r="K30" s="136" t="s">
        <v>275</v>
      </c>
      <c r="L30" s="8"/>
      <c r="M30" s="8" t="s">
        <v>84</v>
      </c>
      <c r="N30" s="9"/>
      <c r="O30" s="9"/>
      <c r="P30" s="9"/>
      <c r="Q30" s="9"/>
      <c r="R30" s="9"/>
      <c r="S30" s="9" t="s">
        <v>710</v>
      </c>
      <c r="T30" s="9" t="s">
        <v>82</v>
      </c>
      <c r="U30" s="9" t="s">
        <v>722</v>
      </c>
      <c r="V30" s="9"/>
      <c r="W30" s="9" t="s">
        <v>85</v>
      </c>
      <c r="X30" s="9" t="s">
        <v>86</v>
      </c>
      <c r="Y30" s="9"/>
      <c r="Z30" s="9"/>
      <c r="AA30" s="9"/>
      <c r="AB30" s="9"/>
      <c r="AC30" s="9"/>
      <c r="AD30" s="9"/>
      <c r="AE30" s="56"/>
      <c r="AF30" s="71"/>
    </row>
    <row r="31" spans="1:32" ht="90" x14ac:dyDescent="0.25">
      <c r="A31" s="71"/>
      <c r="B31" s="119">
        <v>24</v>
      </c>
      <c r="C31" s="151" t="s">
        <v>299</v>
      </c>
      <c r="D31" s="85" t="s">
        <v>398</v>
      </c>
      <c r="E31" s="9" t="s">
        <v>92</v>
      </c>
      <c r="F31" s="9" t="s">
        <v>398</v>
      </c>
      <c r="G31" s="56" t="s">
        <v>276</v>
      </c>
      <c r="H31" s="85" t="s">
        <v>432</v>
      </c>
      <c r="I31" s="136" t="s">
        <v>747</v>
      </c>
      <c r="J31" s="11" t="str" cm="1">
        <f t="array" ref="J31">_xlfn.XLOOKUP(Background!$C$2,Languages!$B$1:$D$1,_xlfn.XLOOKUP("REF_SUOSITUS_3.7",Languages!$A$2:$A$99,Languages!$B$2:$D$99))</f>
        <v xml:space="preserve">3.7 Toimitettavien palveluiden turvallisuus </v>
      </c>
      <c r="K31" s="137" t="s">
        <v>483</v>
      </c>
      <c r="L31" s="8"/>
      <c r="M31" s="8" t="s">
        <v>89</v>
      </c>
      <c r="N31" s="9"/>
      <c r="O31" s="9"/>
      <c r="P31" s="9"/>
      <c r="Q31" s="9"/>
      <c r="R31" s="9" t="s">
        <v>88</v>
      </c>
      <c r="S31" s="9" t="s">
        <v>709</v>
      </c>
      <c r="T31" s="9"/>
      <c r="U31" s="9" t="s">
        <v>668</v>
      </c>
      <c r="V31" s="9"/>
      <c r="W31" s="9" t="s">
        <v>91</v>
      </c>
      <c r="X31" s="9" t="s">
        <v>90</v>
      </c>
      <c r="Y31" s="9"/>
      <c r="Z31" s="9"/>
      <c r="AA31" s="9"/>
      <c r="AB31" s="9"/>
      <c r="AC31" s="9"/>
      <c r="AD31" s="9"/>
      <c r="AE31" s="56"/>
      <c r="AF31" s="71"/>
    </row>
    <row r="32" spans="1:32" ht="90" x14ac:dyDescent="0.25">
      <c r="A32" s="71"/>
      <c r="B32" s="119">
        <v>25</v>
      </c>
      <c r="C32" s="150" t="s">
        <v>299</v>
      </c>
      <c r="D32" s="83" t="s">
        <v>403</v>
      </c>
      <c r="E32" s="6" t="s">
        <v>98</v>
      </c>
      <c r="F32" s="6" t="s">
        <v>403</v>
      </c>
      <c r="G32" s="84" t="s">
        <v>703</v>
      </c>
      <c r="H32" s="108" t="s">
        <v>432</v>
      </c>
      <c r="I32" s="136" t="s">
        <v>747</v>
      </c>
      <c r="J32" s="7" t="str" cm="1">
        <f t="array" ref="J32">_xlfn.XLOOKUP(Background!$C$2,Languages!$B$1:$D$1,_xlfn.XLOOKUP("REF_SUOSITUS_3.8",Languages!$A$2:$A$99,Languages!$B$2:$D$99))</f>
        <v xml:space="preserve">3.8 Viestintäverkkojen rakenteellinen turvallisuus  </v>
      </c>
      <c r="K32" s="136" t="s">
        <v>277</v>
      </c>
      <c r="L32" s="8"/>
      <c r="M32" s="8" t="s">
        <v>95</v>
      </c>
      <c r="N32" s="9"/>
      <c r="O32" s="9"/>
      <c r="P32" s="9"/>
      <c r="Q32" s="9"/>
      <c r="R32" s="9" t="s">
        <v>93</v>
      </c>
      <c r="S32" s="9" t="s">
        <v>723</v>
      </c>
      <c r="T32" s="9" t="s">
        <v>94</v>
      </c>
      <c r="U32" s="9" t="s">
        <v>724</v>
      </c>
      <c r="V32" s="9" t="s">
        <v>765</v>
      </c>
      <c r="W32" s="9" t="s">
        <v>96</v>
      </c>
      <c r="X32" s="9" t="s">
        <v>97</v>
      </c>
      <c r="Y32" s="9"/>
      <c r="Z32" s="9"/>
      <c r="AA32" s="9"/>
      <c r="AB32" s="9"/>
      <c r="AC32" s="9"/>
      <c r="AD32" s="9"/>
      <c r="AE32" s="56"/>
      <c r="AF32" s="71"/>
    </row>
    <row r="33" spans="1:32" ht="105" x14ac:dyDescent="0.25">
      <c r="A33" s="71"/>
      <c r="B33" s="119">
        <v>26</v>
      </c>
      <c r="C33" s="150" t="s">
        <v>299</v>
      </c>
      <c r="D33" s="83" t="s">
        <v>523</v>
      </c>
      <c r="E33" s="6" t="s">
        <v>101</v>
      </c>
      <c r="F33" s="6" t="s">
        <v>523</v>
      </c>
      <c r="G33" s="84" t="s">
        <v>443</v>
      </c>
      <c r="H33" s="108" t="s">
        <v>432</v>
      </c>
      <c r="I33" s="136" t="s">
        <v>747</v>
      </c>
      <c r="J33" s="7" t="str" cm="1">
        <f t="array" ref="J33">_xlfn.XLOOKUP(Background!$C$2,Languages!$B$1:$D$1,_xlfn.XLOOKUP("REF_SUOSITUS_3.9",Languages!$A$2:$A$99,Languages!$B$2:$D$99))</f>
        <v xml:space="preserve">3.9 Haittaliikennesuojaukset </v>
      </c>
      <c r="K33" s="136" t="s">
        <v>484</v>
      </c>
      <c r="L33" s="8"/>
      <c r="M33" s="8" t="s">
        <v>536</v>
      </c>
      <c r="N33" s="9"/>
      <c r="O33" s="9"/>
      <c r="P33" s="9"/>
      <c r="Q33" s="9"/>
      <c r="R33" s="9"/>
      <c r="S33" s="9" t="s">
        <v>725</v>
      </c>
      <c r="T33" s="9"/>
      <c r="U33" s="9" t="s">
        <v>669</v>
      </c>
      <c r="V33" s="9" t="s">
        <v>766</v>
      </c>
      <c r="W33" s="9" t="s">
        <v>99</v>
      </c>
      <c r="X33" s="9" t="s">
        <v>100</v>
      </c>
      <c r="Y33" s="9"/>
      <c r="Z33" s="9"/>
      <c r="AA33" s="9"/>
      <c r="AB33" s="9"/>
      <c r="AC33" s="9"/>
      <c r="AD33" s="9"/>
      <c r="AE33" s="56"/>
      <c r="AF33" s="71"/>
    </row>
    <row r="34" spans="1:32" ht="195" x14ac:dyDescent="0.25">
      <c r="A34" s="71"/>
      <c r="B34" s="119">
        <v>27</v>
      </c>
      <c r="C34" s="152" t="s">
        <v>300</v>
      </c>
      <c r="D34" s="86" t="s">
        <v>396</v>
      </c>
      <c r="E34" s="12" t="s">
        <v>307</v>
      </c>
      <c r="F34" s="12" t="s">
        <v>396</v>
      </c>
      <c r="G34" s="87" t="s">
        <v>444</v>
      </c>
      <c r="H34" s="109" t="s">
        <v>433</v>
      </c>
      <c r="I34" s="138" t="s">
        <v>748</v>
      </c>
      <c r="J34" s="13" t="str" cm="1">
        <f t="array" ref="J34">_xlfn.XLOOKUP(Background!$C$2,Languages!$B$1:$D$1,_xlfn.XLOOKUP("REF_SUOSITUS_4.1",Languages!$A$2:$A$99,Languages!$B$2:$D$99))</f>
        <v xml:space="preserve">4.1 Listaus toimittajista ja palveluntarjoajista  </v>
      </c>
      <c r="K34" s="138" t="s">
        <v>444</v>
      </c>
      <c r="L34" s="14"/>
      <c r="M34" s="14" t="s">
        <v>102</v>
      </c>
      <c r="N34" s="15"/>
      <c r="O34" s="15"/>
      <c r="P34" s="15"/>
      <c r="Q34" s="15"/>
      <c r="R34" s="15"/>
      <c r="S34" s="15" t="s">
        <v>726</v>
      </c>
      <c r="T34" s="15"/>
      <c r="U34" s="15" t="s">
        <v>670</v>
      </c>
      <c r="V34" s="15"/>
      <c r="W34" s="15" t="s">
        <v>103</v>
      </c>
      <c r="X34" s="15" t="s">
        <v>554</v>
      </c>
      <c r="Y34" s="15"/>
      <c r="Z34" s="15"/>
      <c r="AA34" s="15"/>
      <c r="AB34" s="15"/>
      <c r="AC34" s="15"/>
      <c r="AD34" s="15"/>
      <c r="AE34" s="57"/>
      <c r="AF34" s="71"/>
    </row>
    <row r="35" spans="1:32" ht="195" x14ac:dyDescent="0.25">
      <c r="A35" s="71"/>
      <c r="B35" s="119">
        <v>28</v>
      </c>
      <c r="C35" s="152" t="s">
        <v>300</v>
      </c>
      <c r="D35" s="86" t="s">
        <v>395</v>
      </c>
      <c r="E35" s="12" t="s">
        <v>105</v>
      </c>
      <c r="F35" s="12" t="s">
        <v>395</v>
      </c>
      <c r="G35" s="87" t="s">
        <v>445</v>
      </c>
      <c r="H35" s="109" t="s">
        <v>433</v>
      </c>
      <c r="I35" s="138" t="s">
        <v>748</v>
      </c>
      <c r="J35" s="13" t="str" cm="1">
        <f t="array" ref="J35">_xlfn.XLOOKUP(Background!$C$2,Languages!$B$1:$D$1,_xlfn.XLOOKUP("REF_SUOSITUS_4.2",Languages!$A$2:$A$99,Languages!$B$2:$D$99))</f>
        <v xml:space="preserve">4.2 Toimitusketjujen riskienhallinta  </v>
      </c>
      <c r="K35" s="138" t="s">
        <v>485</v>
      </c>
      <c r="L35" s="14"/>
      <c r="M35" s="14" t="s">
        <v>537</v>
      </c>
      <c r="N35" s="15"/>
      <c r="O35" s="15"/>
      <c r="P35" s="15"/>
      <c r="Q35" s="15" t="s">
        <v>587</v>
      </c>
      <c r="R35" s="15"/>
      <c r="S35" s="15" t="s">
        <v>630</v>
      </c>
      <c r="T35" s="15"/>
      <c r="U35" s="15" t="s">
        <v>668</v>
      </c>
      <c r="V35" s="15"/>
      <c r="W35" s="15" t="s">
        <v>104</v>
      </c>
      <c r="X35" s="15" t="s">
        <v>555</v>
      </c>
      <c r="Y35" s="15"/>
      <c r="Z35" s="16" t="s">
        <v>585</v>
      </c>
      <c r="AA35" s="15"/>
      <c r="AB35" s="15" t="s">
        <v>589</v>
      </c>
      <c r="AC35" s="15"/>
      <c r="AD35" s="15"/>
      <c r="AE35" s="57"/>
      <c r="AF35" s="71"/>
    </row>
    <row r="36" spans="1:32" ht="90" x14ac:dyDescent="0.25">
      <c r="A36" s="71"/>
      <c r="B36" s="119">
        <v>29</v>
      </c>
      <c r="C36" s="153" t="s">
        <v>297</v>
      </c>
      <c r="D36" s="88" t="s">
        <v>524</v>
      </c>
      <c r="E36" s="17" t="s">
        <v>109</v>
      </c>
      <c r="F36" s="17" t="s">
        <v>778</v>
      </c>
      <c r="G36" s="89" t="s">
        <v>446</v>
      </c>
      <c r="H36" s="110" t="s">
        <v>434</v>
      </c>
      <c r="I36" s="139" t="s">
        <v>434</v>
      </c>
      <c r="J36" s="18" t="str" cm="1">
        <f t="array" ref="J36">_xlfn.XLOOKUP(Background!$C$2,Languages!$B$1:$D$1,_xlfn.XLOOKUP("REF_SUOSITUS_5.1",Languages!$A$2:$A$99,Languages!$B$2:$D$99))</f>
        <v xml:space="preserve">5.1 Omaisuudenhallinnan menettelyt ja ohjeet  </v>
      </c>
      <c r="K36" s="139" t="s">
        <v>486</v>
      </c>
      <c r="L36" s="19"/>
      <c r="M36" s="19" t="s">
        <v>538</v>
      </c>
      <c r="N36" s="20"/>
      <c r="O36" s="20"/>
      <c r="P36" s="20"/>
      <c r="Q36" s="20"/>
      <c r="R36" s="20" t="s">
        <v>106</v>
      </c>
      <c r="S36" s="20" t="s">
        <v>727</v>
      </c>
      <c r="T36" s="20"/>
      <c r="U36" s="20" t="s">
        <v>670</v>
      </c>
      <c r="V36" s="20" t="s">
        <v>767</v>
      </c>
      <c r="W36" s="20" t="s">
        <v>107</v>
      </c>
      <c r="X36" s="20" t="s">
        <v>108</v>
      </c>
      <c r="Y36" s="20"/>
      <c r="Z36" s="20"/>
      <c r="AA36" s="20"/>
      <c r="AB36" s="20"/>
      <c r="AC36" s="20"/>
      <c r="AD36" s="20"/>
      <c r="AE36" s="58"/>
      <c r="AF36" s="71"/>
    </row>
    <row r="37" spans="1:32" ht="90" x14ac:dyDescent="0.25">
      <c r="A37" s="71"/>
      <c r="B37" s="119">
        <v>30</v>
      </c>
      <c r="C37" s="153" t="s">
        <v>297</v>
      </c>
      <c r="D37" s="88" t="s">
        <v>415</v>
      </c>
      <c r="E37" s="17" t="s">
        <v>113</v>
      </c>
      <c r="F37" s="17" t="s">
        <v>415</v>
      </c>
      <c r="G37" s="89" t="s">
        <v>269</v>
      </c>
      <c r="H37" s="110" t="s">
        <v>434</v>
      </c>
      <c r="I37" s="139" t="s">
        <v>434</v>
      </c>
      <c r="J37" s="18" t="str" cm="1">
        <f t="array" ref="J37">_xlfn.XLOOKUP(Background!$C$2,Languages!$B$1:$D$1,_xlfn.XLOOKUP("REF_SUOSITUS_5.2",Languages!$A$2:$A$99,Languages!$B$2:$D$99))</f>
        <v xml:space="preserve">5.2 Omaisuusluettelo ja omaisuuden luokittelu  </v>
      </c>
      <c r="K37" s="139" t="s">
        <v>487</v>
      </c>
      <c r="L37" s="19"/>
      <c r="M37" s="19" t="s">
        <v>539</v>
      </c>
      <c r="N37" s="21" t="s">
        <v>619</v>
      </c>
      <c r="O37" s="20"/>
      <c r="P37" s="20"/>
      <c r="Q37" s="20"/>
      <c r="R37" s="20" t="s">
        <v>110</v>
      </c>
      <c r="S37" s="20" t="s">
        <v>631</v>
      </c>
      <c r="T37" s="20"/>
      <c r="U37" s="20" t="s">
        <v>672</v>
      </c>
      <c r="V37" s="20" t="s">
        <v>768</v>
      </c>
      <c r="W37" s="20" t="s">
        <v>111</v>
      </c>
      <c r="X37" s="20" t="s">
        <v>112</v>
      </c>
      <c r="Y37" s="20"/>
      <c r="Z37" s="20"/>
      <c r="AA37" s="20"/>
      <c r="AB37" s="20"/>
      <c r="AC37" s="20"/>
      <c r="AD37" s="20"/>
      <c r="AE37" s="58"/>
      <c r="AF37" s="71"/>
    </row>
    <row r="38" spans="1:32" ht="105" x14ac:dyDescent="0.25">
      <c r="A38" s="71"/>
      <c r="B38" s="119">
        <v>31</v>
      </c>
      <c r="C38" s="153" t="s">
        <v>297</v>
      </c>
      <c r="D38" s="88" t="s">
        <v>417</v>
      </c>
      <c r="E38" s="17" t="s">
        <v>116</v>
      </c>
      <c r="F38" s="17" t="s">
        <v>417</v>
      </c>
      <c r="G38" s="89" t="s">
        <v>447</v>
      </c>
      <c r="H38" s="110" t="s">
        <v>434</v>
      </c>
      <c r="I38" s="139" t="s">
        <v>434</v>
      </c>
      <c r="J38" s="18" t="str" cm="1">
        <f t="array" ref="J38">_xlfn.XLOOKUP(Background!$C$2,Languages!$B$1:$D$1,_xlfn.XLOOKUP("REF_SUOSITUS_5.3",Languages!$A$2:$A$99,Languages!$B$2:$D$99))</f>
        <v xml:space="preserve">5.3 Omaisuusluettelon käyttö  </v>
      </c>
      <c r="K38" s="139" t="s">
        <v>279</v>
      </c>
      <c r="L38" s="19"/>
      <c r="M38" s="19" t="s">
        <v>540</v>
      </c>
      <c r="N38" s="20" t="s">
        <v>619</v>
      </c>
      <c r="O38" s="20"/>
      <c r="P38" s="20"/>
      <c r="Q38" s="20"/>
      <c r="R38" s="20" t="s">
        <v>114</v>
      </c>
      <c r="S38" s="20" t="s">
        <v>632</v>
      </c>
      <c r="T38" s="20"/>
      <c r="U38" s="20" t="s">
        <v>671</v>
      </c>
      <c r="V38" s="20" t="s">
        <v>768</v>
      </c>
      <c r="W38" s="20" t="s">
        <v>115</v>
      </c>
      <c r="X38" s="20" t="s">
        <v>112</v>
      </c>
      <c r="Y38" s="20"/>
      <c r="Z38" s="20"/>
      <c r="AA38" s="20"/>
      <c r="AB38" s="20"/>
      <c r="AC38" s="20"/>
      <c r="AD38" s="20"/>
      <c r="AE38" s="58"/>
      <c r="AF38" s="71"/>
    </row>
    <row r="39" spans="1:32" ht="120" x14ac:dyDescent="0.25">
      <c r="A39" s="71"/>
      <c r="B39" s="119">
        <v>32</v>
      </c>
      <c r="C39" s="154" t="s">
        <v>297</v>
      </c>
      <c r="D39" s="90" t="s">
        <v>410</v>
      </c>
      <c r="E39" s="22" t="s">
        <v>121</v>
      </c>
      <c r="F39" s="22" t="s">
        <v>410</v>
      </c>
      <c r="G39" s="91" t="s">
        <v>702</v>
      </c>
      <c r="H39" s="111" t="s">
        <v>435</v>
      </c>
      <c r="I39" s="140" t="s">
        <v>435</v>
      </c>
      <c r="J39" s="23" t="str" cm="1">
        <f t="array" ref="J39">_xlfn.XLOOKUP(Background!$C$2,Languages!$B$1:$D$1,_xlfn.XLOOKUP("REF_SUOSITUS_6.1",Languages!$A$2:$A$99,Languages!$B$2:$D$99))</f>
        <v xml:space="preserve">6.1 Henkilöstöturvallisuuden menettelyt </v>
      </c>
      <c r="K39" s="140" t="s">
        <v>488</v>
      </c>
      <c r="L39" s="24" t="s">
        <v>541</v>
      </c>
      <c r="M39" s="24" t="s">
        <v>542</v>
      </c>
      <c r="N39" s="25"/>
      <c r="O39" s="25"/>
      <c r="P39" s="25"/>
      <c r="Q39" s="25"/>
      <c r="R39" s="25" t="s">
        <v>117</v>
      </c>
      <c r="S39" s="25" t="s">
        <v>728</v>
      </c>
      <c r="T39" s="25" t="s">
        <v>118</v>
      </c>
      <c r="U39" s="25" t="s">
        <v>729</v>
      </c>
      <c r="V39" s="25"/>
      <c r="W39" s="25" t="s">
        <v>119</v>
      </c>
      <c r="X39" s="25" t="s">
        <v>120</v>
      </c>
      <c r="Y39" s="25"/>
      <c r="Z39" s="25"/>
      <c r="AA39" s="25"/>
      <c r="AB39" s="25"/>
      <c r="AC39" s="25"/>
      <c r="AD39" s="25"/>
      <c r="AE39" s="59"/>
      <c r="AF39" s="71"/>
    </row>
    <row r="40" spans="1:32" ht="75" x14ac:dyDescent="0.25">
      <c r="A40" s="71"/>
      <c r="B40" s="119">
        <v>33</v>
      </c>
      <c r="C40" s="154" t="s">
        <v>297</v>
      </c>
      <c r="D40" s="90" t="s">
        <v>409</v>
      </c>
      <c r="E40" s="22" t="s">
        <v>124</v>
      </c>
      <c r="F40" s="22" t="s">
        <v>409</v>
      </c>
      <c r="G40" s="91" t="s">
        <v>448</v>
      </c>
      <c r="H40" s="111" t="s">
        <v>435</v>
      </c>
      <c r="I40" s="140" t="s">
        <v>435</v>
      </c>
      <c r="J40" s="23" t="str" cm="1">
        <f t="array" ref="J40">_xlfn.XLOOKUP(Background!$C$2,Languages!$B$1:$D$1,_xlfn.XLOOKUP("REF_SUOSITUS_6.2",Languages!$A$2:$A$99,Languages!$B$2:$D$99))</f>
        <v xml:space="preserve">6.2 Henkilöstöturvallisuuden menettelytavat </v>
      </c>
      <c r="K40" s="140" t="s">
        <v>489</v>
      </c>
      <c r="L40" s="24"/>
      <c r="M40" s="24" t="s">
        <v>543</v>
      </c>
      <c r="N40" s="25"/>
      <c r="O40" s="25"/>
      <c r="P40" s="25"/>
      <c r="Q40" s="25"/>
      <c r="R40" s="25" t="s">
        <v>117</v>
      </c>
      <c r="S40" s="25" t="s">
        <v>730</v>
      </c>
      <c r="T40" s="25" t="s">
        <v>118</v>
      </c>
      <c r="U40" s="25" t="s">
        <v>731</v>
      </c>
      <c r="V40" s="25"/>
      <c r="W40" s="25" t="s">
        <v>122</v>
      </c>
      <c r="X40" s="25" t="s">
        <v>123</v>
      </c>
      <c r="Y40" s="25"/>
      <c r="Z40" s="25"/>
      <c r="AA40" s="25"/>
      <c r="AB40" s="25"/>
      <c r="AC40" s="25"/>
      <c r="AD40" s="25"/>
      <c r="AE40" s="59"/>
      <c r="AF40" s="71"/>
    </row>
    <row r="41" spans="1:32" ht="45" x14ac:dyDescent="0.25">
      <c r="A41" s="71"/>
      <c r="B41" s="119">
        <v>34</v>
      </c>
      <c r="C41" s="154" t="s">
        <v>424</v>
      </c>
      <c r="D41" s="90" t="s">
        <v>416</v>
      </c>
      <c r="E41" s="22"/>
      <c r="F41" s="22" t="s">
        <v>779</v>
      </c>
      <c r="G41" s="91" t="s">
        <v>278</v>
      </c>
      <c r="H41" s="111" t="s">
        <v>435</v>
      </c>
      <c r="I41" s="140" t="s">
        <v>435</v>
      </c>
      <c r="J41" s="23" t="str" cm="1">
        <f t="array" ref="J41">_xlfn.XLOOKUP(Background!$C$2,Languages!$B$1:$D$1,_xlfn.XLOOKUP("REF_SUOSITUS_6.3",Languages!$A$2:$A$99,Languages!$B$2:$D$99))</f>
        <v xml:space="preserve">6.3 Salassapito ja velvollisuudet </v>
      </c>
      <c r="K41" s="140" t="s">
        <v>490</v>
      </c>
      <c r="L41" s="24"/>
      <c r="M41" s="24" t="s">
        <v>125</v>
      </c>
      <c r="N41" s="25"/>
      <c r="O41" s="25"/>
      <c r="P41" s="25"/>
      <c r="Q41" s="25"/>
      <c r="R41" s="25"/>
      <c r="S41" s="25" t="s">
        <v>633</v>
      </c>
      <c r="T41" s="25"/>
      <c r="U41" s="25" t="s">
        <v>673</v>
      </c>
      <c r="V41" s="25"/>
      <c r="W41" s="25" t="s">
        <v>126</v>
      </c>
      <c r="X41" s="25" t="s">
        <v>127</v>
      </c>
      <c r="Y41" s="25"/>
      <c r="Z41" s="25"/>
      <c r="AA41" s="25"/>
      <c r="AB41" s="25"/>
      <c r="AC41" s="25"/>
      <c r="AD41" s="25"/>
      <c r="AE41" s="59"/>
      <c r="AF41" s="71"/>
    </row>
    <row r="42" spans="1:32" ht="30" x14ac:dyDescent="0.25">
      <c r="A42" s="71"/>
      <c r="B42" s="119">
        <v>35</v>
      </c>
      <c r="C42" s="154" t="s">
        <v>297</v>
      </c>
      <c r="D42" s="90" t="s">
        <v>408</v>
      </c>
      <c r="E42" s="22" t="s">
        <v>130</v>
      </c>
      <c r="F42" s="22" t="s">
        <v>408</v>
      </c>
      <c r="G42" s="91" t="s">
        <v>449</v>
      </c>
      <c r="H42" s="111" t="s">
        <v>435</v>
      </c>
      <c r="I42" s="140" t="s">
        <v>435</v>
      </c>
      <c r="J42" s="23" t="str" cm="1">
        <f t="array" ref="J42">_xlfn.XLOOKUP(Background!$C$2,Languages!$B$1:$D$1,_xlfn.XLOOKUP("REF_SUOSITUS_6.4",Languages!$A$2:$A$99,Languages!$B$2:$D$99))</f>
        <v xml:space="preserve">6.4 Taustatarkistukset  </v>
      </c>
      <c r="K42" s="140" t="s">
        <v>491</v>
      </c>
      <c r="L42" s="24"/>
      <c r="M42" s="24" t="s">
        <v>4</v>
      </c>
      <c r="N42" s="25"/>
      <c r="O42" s="25"/>
      <c r="P42" s="25"/>
      <c r="Q42" s="25"/>
      <c r="R42" s="25" t="s">
        <v>128</v>
      </c>
      <c r="S42" s="25" t="s">
        <v>732</v>
      </c>
      <c r="T42" s="25" t="s">
        <v>129</v>
      </c>
      <c r="U42" s="25" t="s">
        <v>666</v>
      </c>
      <c r="V42" s="25"/>
      <c r="W42" s="25" t="s">
        <v>122</v>
      </c>
      <c r="X42" s="25" t="s">
        <v>123</v>
      </c>
      <c r="Y42" s="25"/>
      <c r="Z42" s="25"/>
      <c r="AA42" s="25"/>
      <c r="AB42" s="25"/>
      <c r="AC42" s="25"/>
      <c r="AD42" s="25"/>
      <c r="AE42" s="59"/>
      <c r="AF42" s="71"/>
    </row>
    <row r="43" spans="1:32" ht="45" x14ac:dyDescent="0.25">
      <c r="A43" s="71"/>
      <c r="B43" s="119">
        <v>36</v>
      </c>
      <c r="C43" s="154" t="s">
        <v>303</v>
      </c>
      <c r="D43" s="90" t="s">
        <v>405</v>
      </c>
      <c r="E43" s="22" t="s">
        <v>134</v>
      </c>
      <c r="F43" s="22" t="s">
        <v>405</v>
      </c>
      <c r="G43" s="91" t="s">
        <v>450</v>
      </c>
      <c r="H43" s="111" t="s">
        <v>435</v>
      </c>
      <c r="I43" s="140" t="s">
        <v>435</v>
      </c>
      <c r="J43" s="23" t="str" cm="1">
        <f t="array" ref="J43">_xlfn.XLOOKUP(Background!$C$2,Languages!$B$1:$D$1,_xlfn.XLOOKUP("REF_SUOSITUS_6.5",Languages!$A$2:$A$99,Languages!$B$2:$D$99))</f>
        <v xml:space="preserve">6.5 Henkilöstökoulutus </v>
      </c>
      <c r="K43" s="140" t="s">
        <v>281</v>
      </c>
      <c r="L43" s="24" t="s">
        <v>544</v>
      </c>
      <c r="M43" s="24" t="s">
        <v>5</v>
      </c>
      <c r="N43" s="25"/>
      <c r="O43" s="25"/>
      <c r="P43" s="25"/>
      <c r="Q43" s="25"/>
      <c r="R43" s="25" t="s">
        <v>131</v>
      </c>
      <c r="S43" s="25" t="s">
        <v>634</v>
      </c>
      <c r="T43" s="25"/>
      <c r="U43" s="25"/>
      <c r="V43" s="25"/>
      <c r="W43" s="25" t="s">
        <v>132</v>
      </c>
      <c r="X43" s="25" t="s">
        <v>133</v>
      </c>
      <c r="Y43" s="25"/>
      <c r="Z43" s="25"/>
      <c r="AA43" s="25"/>
      <c r="AB43" s="26" t="s">
        <v>1</v>
      </c>
      <c r="AC43" s="26"/>
      <c r="AD43" s="26"/>
      <c r="AE43" s="131"/>
      <c r="AF43" s="71"/>
    </row>
    <row r="44" spans="1:32" ht="45" x14ac:dyDescent="0.25">
      <c r="A44" s="71"/>
      <c r="B44" s="119">
        <v>37</v>
      </c>
      <c r="C44" s="154" t="s">
        <v>303</v>
      </c>
      <c r="D44" s="90" t="s">
        <v>406</v>
      </c>
      <c r="E44" s="22" t="s">
        <v>134</v>
      </c>
      <c r="F44" s="22" t="s">
        <v>406</v>
      </c>
      <c r="G44" s="91" t="s">
        <v>450</v>
      </c>
      <c r="H44" s="111" t="s">
        <v>435</v>
      </c>
      <c r="I44" s="140" t="s">
        <v>435</v>
      </c>
      <c r="J44" s="23" t="str" cm="1">
        <f t="array" ref="J44">_xlfn.XLOOKUP(Background!$C$2,Languages!$B$1:$D$1,_xlfn.XLOOKUP("REF_SUOSITUS_6.5.1",Languages!$A$2:$A$99,Languages!$B$2:$D$99))</f>
        <v xml:space="preserve">6.5.1 Henkilöstökoulutus - laajennettu ohjeistus  </v>
      </c>
      <c r="K44" s="140" t="s">
        <v>282</v>
      </c>
      <c r="L44" s="24" t="s">
        <v>6</v>
      </c>
      <c r="M44" s="24" t="s">
        <v>5</v>
      </c>
      <c r="N44" s="25"/>
      <c r="O44" s="25"/>
      <c r="P44" s="25"/>
      <c r="Q44" s="25"/>
      <c r="R44" s="25" t="s">
        <v>131</v>
      </c>
      <c r="S44" s="25" t="s">
        <v>634</v>
      </c>
      <c r="T44" s="25"/>
      <c r="U44" s="25"/>
      <c r="V44" s="25"/>
      <c r="W44" s="25" t="s">
        <v>132</v>
      </c>
      <c r="X44" s="25" t="s">
        <v>133</v>
      </c>
      <c r="Y44" s="25"/>
      <c r="Z44" s="25"/>
      <c r="AA44" s="25"/>
      <c r="AB44" s="26" t="s">
        <v>1</v>
      </c>
      <c r="AC44" s="26"/>
      <c r="AD44" s="26"/>
      <c r="AE44" s="131"/>
      <c r="AF44" s="71"/>
    </row>
    <row r="45" spans="1:32" ht="60" x14ac:dyDescent="0.25">
      <c r="A45" s="71"/>
      <c r="B45" s="119">
        <v>38</v>
      </c>
      <c r="C45" s="154" t="s">
        <v>302</v>
      </c>
      <c r="D45" s="90" t="s">
        <v>525</v>
      </c>
      <c r="E45" s="22" t="s">
        <v>140</v>
      </c>
      <c r="F45" s="22" t="s">
        <v>525</v>
      </c>
      <c r="G45" s="91" t="s">
        <v>525</v>
      </c>
      <c r="H45" s="111" t="s">
        <v>435</v>
      </c>
      <c r="I45" s="140" t="s">
        <v>435</v>
      </c>
      <c r="J45" s="23" t="str" cm="1">
        <f t="array" ref="J45">_xlfn.XLOOKUP(Background!$C$2,Languages!$B$1:$D$1,_xlfn.XLOOKUP("REF_SUOSITUS_6.6",Languages!$A$2:$A$99,Languages!$B$2:$D$99))</f>
        <v xml:space="preserve">6.6 Johdon perehtyneisyys  </v>
      </c>
      <c r="K45" s="140" t="s">
        <v>492</v>
      </c>
      <c r="L45" s="24" t="s">
        <v>136</v>
      </c>
      <c r="M45" s="24" t="s">
        <v>137</v>
      </c>
      <c r="N45" s="26" t="s">
        <v>579</v>
      </c>
      <c r="O45" s="25"/>
      <c r="P45" s="25"/>
      <c r="Q45" s="25"/>
      <c r="R45" s="25" t="s">
        <v>135</v>
      </c>
      <c r="S45" s="25" t="s">
        <v>733</v>
      </c>
      <c r="T45" s="25"/>
      <c r="U45" s="25"/>
      <c r="V45" s="25"/>
      <c r="W45" s="25" t="s">
        <v>138</v>
      </c>
      <c r="X45" s="25" t="s">
        <v>139</v>
      </c>
      <c r="Y45" s="26" t="s">
        <v>1</v>
      </c>
      <c r="Z45" s="25"/>
      <c r="AA45" s="25"/>
      <c r="AB45" s="25"/>
      <c r="AC45" s="25"/>
      <c r="AD45" s="25"/>
      <c r="AE45" s="59"/>
      <c r="AF45" s="71"/>
    </row>
    <row r="46" spans="1:32" ht="165" x14ac:dyDescent="0.25">
      <c r="A46" s="71"/>
      <c r="B46" s="119">
        <v>39</v>
      </c>
      <c r="C46" s="155" t="s">
        <v>301</v>
      </c>
      <c r="D46" s="92" t="s">
        <v>411</v>
      </c>
      <c r="E46" s="27" t="s">
        <v>145</v>
      </c>
      <c r="F46" s="27" t="s">
        <v>411</v>
      </c>
      <c r="G46" s="93" t="s">
        <v>283</v>
      </c>
      <c r="H46" s="112" t="s">
        <v>436</v>
      </c>
      <c r="I46" s="141" t="s">
        <v>749</v>
      </c>
      <c r="J46" s="28" t="str" cm="1">
        <f t="array" ref="J46">_xlfn.XLOOKUP(Background!$C$2,Languages!$B$1:$D$1,_xlfn.XLOOKUP("REF_SUOSITUS_7.1",Languages!$A$2:$A$99,Languages!$B$2:$D$99))</f>
        <v xml:space="preserve">7.1 Pääsynhallinnan menettelyt  </v>
      </c>
      <c r="K46" s="141" t="s">
        <v>283</v>
      </c>
      <c r="L46" s="29"/>
      <c r="M46" s="29" t="s">
        <v>545</v>
      </c>
      <c r="N46" s="30"/>
      <c r="O46" s="30"/>
      <c r="P46" s="30"/>
      <c r="Q46" s="30"/>
      <c r="R46" s="30" t="s">
        <v>141</v>
      </c>
      <c r="S46" s="30" t="s">
        <v>734</v>
      </c>
      <c r="T46" s="30"/>
      <c r="U46" s="30" t="s">
        <v>675</v>
      </c>
      <c r="V46" s="30" t="s">
        <v>142</v>
      </c>
      <c r="W46" s="30" t="s">
        <v>143</v>
      </c>
      <c r="X46" s="30" t="s">
        <v>144</v>
      </c>
      <c r="Y46" s="30"/>
      <c r="Z46" s="30"/>
      <c r="AA46" s="30"/>
      <c r="AB46" s="30"/>
      <c r="AC46" s="30"/>
      <c r="AD46" s="30"/>
      <c r="AE46" s="60"/>
      <c r="AF46" s="71"/>
    </row>
    <row r="47" spans="1:32" ht="60" x14ac:dyDescent="0.25">
      <c r="A47" s="71"/>
      <c r="B47" s="119">
        <v>40</v>
      </c>
      <c r="C47" s="155" t="s">
        <v>301</v>
      </c>
      <c r="D47" s="92" t="s">
        <v>412</v>
      </c>
      <c r="E47" s="27" t="s">
        <v>150</v>
      </c>
      <c r="F47" s="27" t="s">
        <v>412</v>
      </c>
      <c r="G47" s="93" t="s">
        <v>451</v>
      </c>
      <c r="H47" s="112" t="s">
        <v>436</v>
      </c>
      <c r="I47" s="141" t="s">
        <v>749</v>
      </c>
      <c r="J47" s="28" t="str" cm="1">
        <f t="array" ref="J47">_xlfn.XLOOKUP(Background!$C$2,Languages!$B$1:$D$1,_xlfn.XLOOKUP("REF_SUOSITUS_7.2",Languages!$A$2:$A$99,Languages!$B$2:$D$99))</f>
        <v xml:space="preserve">7.2 Pääsynhallinnan ja käyttöoikeuksien jatkuva ylläpito  </v>
      </c>
      <c r="K47" s="141" t="s">
        <v>493</v>
      </c>
      <c r="L47" s="29"/>
      <c r="M47" s="29" t="s">
        <v>147</v>
      </c>
      <c r="N47" s="30"/>
      <c r="O47" s="30"/>
      <c r="P47" s="30"/>
      <c r="Q47" s="30"/>
      <c r="R47" s="30" t="s">
        <v>146</v>
      </c>
      <c r="S47" s="30" t="s">
        <v>635</v>
      </c>
      <c r="T47" s="30"/>
      <c r="U47" s="30" t="s">
        <v>676</v>
      </c>
      <c r="V47" s="30"/>
      <c r="W47" s="30" t="s">
        <v>148</v>
      </c>
      <c r="X47" s="30" t="s">
        <v>149</v>
      </c>
      <c r="Y47" s="30"/>
      <c r="Z47" s="30"/>
      <c r="AA47" s="30"/>
      <c r="AB47" s="30"/>
      <c r="AC47" s="30"/>
      <c r="AD47" s="30"/>
      <c r="AE47" s="60"/>
      <c r="AF47" s="71"/>
    </row>
    <row r="48" spans="1:32" ht="90" x14ac:dyDescent="0.25">
      <c r="A48" s="71"/>
      <c r="B48" s="119">
        <v>41</v>
      </c>
      <c r="C48" s="156" t="s">
        <v>304</v>
      </c>
      <c r="D48" s="92" t="s">
        <v>412</v>
      </c>
      <c r="E48" s="27" t="s">
        <v>154</v>
      </c>
      <c r="F48" s="27" t="s">
        <v>412</v>
      </c>
      <c r="G48" s="93" t="s">
        <v>451</v>
      </c>
      <c r="H48" s="112" t="s">
        <v>436</v>
      </c>
      <c r="I48" s="141" t="s">
        <v>749</v>
      </c>
      <c r="J48" s="28" t="str" cm="1">
        <f t="array" ref="J48">_xlfn.XLOOKUP(Background!$C$2,Languages!$B$1:$D$1,_xlfn.XLOOKUP("REF_SUOSITUS_7.3",Languages!$A$2:$A$99,Languages!$B$2:$D$99))</f>
        <v xml:space="preserve">7.3 Pääsynhallinnan valvonta </v>
      </c>
      <c r="K48" s="141" t="s">
        <v>494</v>
      </c>
      <c r="L48" s="29"/>
      <c r="M48" s="29" t="s">
        <v>152</v>
      </c>
      <c r="N48" s="30"/>
      <c r="O48" s="30"/>
      <c r="P48" s="30"/>
      <c r="Q48" s="30"/>
      <c r="R48" s="30" t="s">
        <v>151</v>
      </c>
      <c r="S48" s="30" t="s">
        <v>735</v>
      </c>
      <c r="T48" s="30"/>
      <c r="U48" s="30" t="s">
        <v>677</v>
      </c>
      <c r="V48" s="30"/>
      <c r="W48" s="30" t="s">
        <v>153</v>
      </c>
      <c r="X48" s="30" t="s">
        <v>556</v>
      </c>
      <c r="Y48" s="30"/>
      <c r="Z48" s="30"/>
      <c r="AA48" s="30"/>
      <c r="AB48" s="30"/>
      <c r="AC48" s="30"/>
      <c r="AD48" s="30"/>
      <c r="AE48" s="60"/>
      <c r="AF48" s="71"/>
    </row>
    <row r="49" spans="1:32" ht="75" x14ac:dyDescent="0.25">
      <c r="A49" s="71"/>
      <c r="B49" s="119">
        <v>42</v>
      </c>
      <c r="C49" s="155" t="s">
        <v>294</v>
      </c>
      <c r="D49" s="92" t="s">
        <v>387</v>
      </c>
      <c r="E49" s="27" t="s">
        <v>158</v>
      </c>
      <c r="F49" s="27" t="s">
        <v>387</v>
      </c>
      <c r="G49" s="93" t="s">
        <v>453</v>
      </c>
      <c r="H49" s="112" t="s">
        <v>436</v>
      </c>
      <c r="I49" s="141" t="s">
        <v>749</v>
      </c>
      <c r="J49" s="28" t="str" cm="1">
        <f t="array" ref="J49">_xlfn.XLOOKUP(Background!$C$2,Languages!$B$1:$D$1,_xlfn.XLOOKUP("REF_SUOSITUS_7.3.1",Languages!$A$2:$A$99,Languages!$B$2:$D$99))</f>
        <v xml:space="preserve">7.3.1 Pääsynhallinnan tapahtumakirjausten valvonta - laajennettu ohjeistus  </v>
      </c>
      <c r="K49" s="141" t="s">
        <v>495</v>
      </c>
      <c r="L49" s="29"/>
      <c r="M49" s="29" t="s">
        <v>156</v>
      </c>
      <c r="N49" s="30"/>
      <c r="O49" s="30"/>
      <c r="P49" s="30"/>
      <c r="Q49" s="30"/>
      <c r="R49" s="30" t="s">
        <v>155</v>
      </c>
      <c r="S49" s="30" t="s">
        <v>736</v>
      </c>
      <c r="T49" s="30"/>
      <c r="U49" s="30" t="s">
        <v>678</v>
      </c>
      <c r="V49" s="30"/>
      <c r="W49" s="30" t="s">
        <v>153</v>
      </c>
      <c r="X49" s="30" t="s">
        <v>157</v>
      </c>
      <c r="Y49" s="30"/>
      <c r="Z49" s="30"/>
      <c r="AA49" s="30"/>
      <c r="AB49" s="30"/>
      <c r="AC49" s="30"/>
      <c r="AD49" s="30"/>
      <c r="AE49" s="60"/>
      <c r="AF49" s="71"/>
    </row>
    <row r="50" spans="1:32" ht="45" x14ac:dyDescent="0.25">
      <c r="A50" s="71"/>
      <c r="B50" s="119">
        <v>43</v>
      </c>
      <c r="C50" s="155" t="s">
        <v>301</v>
      </c>
      <c r="D50" s="92" t="s">
        <v>413</v>
      </c>
      <c r="E50" s="27" t="s">
        <v>163</v>
      </c>
      <c r="F50" s="27" t="s">
        <v>413</v>
      </c>
      <c r="G50" s="93" t="s">
        <v>283</v>
      </c>
      <c r="H50" s="112" t="s">
        <v>436</v>
      </c>
      <c r="I50" s="141" t="s">
        <v>749</v>
      </c>
      <c r="J50" s="28" t="str" cm="1">
        <f t="array" ref="J50">_xlfn.XLOOKUP(Background!$C$2,Languages!$B$1:$D$1,_xlfn.XLOOKUP("REF_SUOSITUS_7.4",Languages!$A$2:$A$99,Languages!$B$2:$D$99))</f>
        <v xml:space="preserve">7.4 Pääsynhallintaan liittyvä kirjanpito ja vähimpien oikeuksien periaate </v>
      </c>
      <c r="K50" s="141" t="s">
        <v>496</v>
      </c>
      <c r="L50" s="29"/>
      <c r="M50" s="29" t="s">
        <v>546</v>
      </c>
      <c r="N50" s="30"/>
      <c r="O50" s="30"/>
      <c r="P50" s="30"/>
      <c r="Q50" s="30"/>
      <c r="R50" s="30" t="s">
        <v>159</v>
      </c>
      <c r="S50" s="30" t="s">
        <v>635</v>
      </c>
      <c r="T50" s="30"/>
      <c r="U50" s="30" t="s">
        <v>676</v>
      </c>
      <c r="V50" s="30"/>
      <c r="W50" s="30" t="s">
        <v>160</v>
      </c>
      <c r="X50" s="30" t="s">
        <v>162</v>
      </c>
      <c r="Y50" s="30"/>
      <c r="Z50" s="30"/>
      <c r="AA50" s="30"/>
      <c r="AB50" s="30"/>
      <c r="AC50" s="30"/>
      <c r="AD50" s="30"/>
      <c r="AE50" s="60"/>
      <c r="AF50" s="71"/>
    </row>
    <row r="51" spans="1:32" ht="75" x14ac:dyDescent="0.25">
      <c r="A51" s="71"/>
      <c r="B51" s="119">
        <v>44</v>
      </c>
      <c r="C51" s="155" t="s">
        <v>301</v>
      </c>
      <c r="D51" s="92" t="s">
        <v>519</v>
      </c>
      <c r="E51" s="27" t="s">
        <v>165</v>
      </c>
      <c r="F51" s="27" t="s">
        <v>519</v>
      </c>
      <c r="G51" s="93" t="s">
        <v>462</v>
      </c>
      <c r="H51" s="112" t="s">
        <v>436</v>
      </c>
      <c r="I51" s="141" t="s">
        <v>749</v>
      </c>
      <c r="J51" s="28" t="str" cm="1">
        <f t="array" ref="J51">_xlfn.XLOOKUP(Background!$C$2,Languages!$B$1:$D$1,_xlfn.XLOOKUP("REF_SUOSITUS_7.5",Languages!$A$2:$A$99,Languages!$B$2:$D$99))</f>
        <v xml:space="preserve">7.5 Pääkäyttäjätunnukset </v>
      </c>
      <c r="K51" s="141" t="s">
        <v>283</v>
      </c>
      <c r="L51" s="29"/>
      <c r="M51" s="29" t="s">
        <v>620</v>
      </c>
      <c r="N51" s="30"/>
      <c r="O51" s="30"/>
      <c r="P51" s="30"/>
      <c r="Q51" s="30"/>
      <c r="R51" s="30" t="s">
        <v>164</v>
      </c>
      <c r="S51" s="30" t="s">
        <v>737</v>
      </c>
      <c r="T51" s="30"/>
      <c r="U51" s="30" t="s">
        <v>676</v>
      </c>
      <c r="V51" s="30"/>
      <c r="W51" s="30" t="s">
        <v>160</v>
      </c>
      <c r="X51" s="30" t="s">
        <v>162</v>
      </c>
      <c r="Y51" s="30"/>
      <c r="Z51" s="30"/>
      <c r="AA51" s="30"/>
      <c r="AB51" s="30"/>
      <c r="AC51" s="30"/>
      <c r="AD51" s="30"/>
      <c r="AE51" s="60"/>
      <c r="AF51" s="71"/>
    </row>
    <row r="52" spans="1:32" ht="75" x14ac:dyDescent="0.25">
      <c r="A52" s="71"/>
      <c r="B52" s="119">
        <v>45</v>
      </c>
      <c r="C52" s="155" t="s">
        <v>301</v>
      </c>
      <c r="D52" s="92" t="s">
        <v>414</v>
      </c>
      <c r="E52" s="27" t="s">
        <v>170</v>
      </c>
      <c r="F52" s="27" t="s">
        <v>414</v>
      </c>
      <c r="G52" s="93" t="s">
        <v>462</v>
      </c>
      <c r="H52" s="112" t="s">
        <v>436</v>
      </c>
      <c r="I52" s="141" t="s">
        <v>749</v>
      </c>
      <c r="J52" s="28" t="str" cm="1">
        <f t="array" ref="J52">_xlfn.XLOOKUP(Background!$C$2,Languages!$B$1:$D$1,_xlfn.XLOOKUP("REF_SUOSITUS_7.6",Languages!$A$2:$A$99,Languages!$B$2:$D$99))</f>
        <v xml:space="preserve">7.6 Turvallisten todennusmenetelmien valinta ja luotettava todennus  </v>
      </c>
      <c r="K52" s="141" t="s">
        <v>284</v>
      </c>
      <c r="L52" s="29"/>
      <c r="M52" s="29" t="s">
        <v>167</v>
      </c>
      <c r="N52" s="30"/>
      <c r="O52" s="30"/>
      <c r="P52" s="30"/>
      <c r="Q52" s="30"/>
      <c r="R52" s="30" t="s">
        <v>166</v>
      </c>
      <c r="S52" s="30" t="s">
        <v>738</v>
      </c>
      <c r="T52" s="30"/>
      <c r="U52" s="30" t="s">
        <v>679</v>
      </c>
      <c r="V52" s="30"/>
      <c r="W52" s="30" t="s">
        <v>168</v>
      </c>
      <c r="X52" s="30" t="s">
        <v>169</v>
      </c>
      <c r="Y52" s="30"/>
      <c r="Z52" s="30"/>
      <c r="AA52" s="30"/>
      <c r="AB52" s="30"/>
      <c r="AC52" s="30"/>
      <c r="AD52" s="30"/>
      <c r="AE52" s="60"/>
      <c r="AF52" s="71"/>
    </row>
    <row r="53" spans="1:32" ht="75" x14ac:dyDescent="0.25">
      <c r="A53" s="71"/>
      <c r="B53" s="119">
        <v>46</v>
      </c>
      <c r="C53" s="157" t="s">
        <v>295</v>
      </c>
      <c r="D53" s="94" t="s">
        <v>407</v>
      </c>
      <c r="E53" s="31" t="s">
        <v>174</v>
      </c>
      <c r="F53" s="31" t="s">
        <v>407</v>
      </c>
      <c r="G53" s="95" t="s">
        <v>285</v>
      </c>
      <c r="H53" s="113" t="s">
        <v>437</v>
      </c>
      <c r="I53" s="142" t="s">
        <v>437</v>
      </c>
      <c r="J53" s="32" t="str" cm="1">
        <f t="array" ref="J53">_xlfn.XLOOKUP(Background!$C$2,Languages!$B$1:$D$1,_xlfn.XLOOKUP("REF_SUOSITUS_8.1",Languages!$A$2:$A$99,Languages!$B$2:$D$99))</f>
        <v xml:space="preserve">8.1 Kryptografian toimintaperiaatteet ja menettelyt </v>
      </c>
      <c r="K53" s="142" t="s">
        <v>285</v>
      </c>
      <c r="L53" s="33"/>
      <c r="M53" s="33" t="s">
        <v>547</v>
      </c>
      <c r="N53" s="34"/>
      <c r="O53" s="34"/>
      <c r="P53" s="34"/>
      <c r="Q53" s="34"/>
      <c r="R53" s="34"/>
      <c r="S53" s="34" t="s">
        <v>636</v>
      </c>
      <c r="T53" s="34"/>
      <c r="U53" s="34" t="s">
        <v>680</v>
      </c>
      <c r="V53" s="34" t="s">
        <v>171</v>
      </c>
      <c r="W53" s="34" t="s">
        <v>172</v>
      </c>
      <c r="X53" s="34" t="s">
        <v>173</v>
      </c>
      <c r="Y53" s="34"/>
      <c r="Z53" s="34"/>
      <c r="AA53" s="34"/>
      <c r="AB53" s="34"/>
      <c r="AC53" s="34"/>
      <c r="AD53" s="34"/>
      <c r="AE53" s="61"/>
      <c r="AF53" s="71"/>
    </row>
    <row r="54" spans="1:32" ht="75" x14ac:dyDescent="0.25">
      <c r="A54" s="71"/>
      <c r="B54" s="119">
        <v>47</v>
      </c>
      <c r="C54" s="157" t="s">
        <v>295</v>
      </c>
      <c r="D54" s="94" t="s">
        <v>407</v>
      </c>
      <c r="E54" s="31" t="s">
        <v>174</v>
      </c>
      <c r="F54" s="31" t="s">
        <v>407</v>
      </c>
      <c r="G54" s="95" t="s">
        <v>285</v>
      </c>
      <c r="H54" s="113" t="s">
        <v>437</v>
      </c>
      <c r="I54" s="142" t="s">
        <v>437</v>
      </c>
      <c r="J54" s="32" t="str" cm="1">
        <f t="array" ref="J54">_xlfn.XLOOKUP(Background!$C$2,Languages!$B$1:$D$1,_xlfn.XLOOKUP("REF_SUOSITUS_8.2",Languages!$A$2:$A$99,Languages!$B$2:$D$99))</f>
        <v xml:space="preserve">8.2 Tiedon salaustekniikat </v>
      </c>
      <c r="K54" s="142" t="s">
        <v>285</v>
      </c>
      <c r="L54" s="33"/>
      <c r="M54" s="33" t="s">
        <v>176</v>
      </c>
      <c r="N54" s="34"/>
      <c r="O54" s="34"/>
      <c r="P54" s="34"/>
      <c r="Q54" s="34"/>
      <c r="R54" s="34"/>
      <c r="S54" s="34" t="s">
        <v>637</v>
      </c>
      <c r="T54" s="34"/>
      <c r="U54" s="34" t="s">
        <v>680</v>
      </c>
      <c r="V54" s="34" t="s">
        <v>175</v>
      </c>
      <c r="W54" s="34" t="s">
        <v>172</v>
      </c>
      <c r="X54" s="34" t="s">
        <v>173</v>
      </c>
      <c r="Y54" s="34"/>
      <c r="Z54" s="34"/>
      <c r="AA54" s="34"/>
      <c r="AB54" s="34"/>
      <c r="AC54" s="34"/>
      <c r="AD54" s="34"/>
      <c r="AE54" s="61"/>
      <c r="AF54" s="71"/>
    </row>
    <row r="55" spans="1:32" ht="75" x14ac:dyDescent="0.25">
      <c r="A55" s="71"/>
      <c r="B55" s="119">
        <v>48</v>
      </c>
      <c r="C55" s="157" t="s">
        <v>295</v>
      </c>
      <c r="D55" s="94" t="s">
        <v>407</v>
      </c>
      <c r="E55" s="31" t="s">
        <v>174</v>
      </c>
      <c r="F55" s="31" t="s">
        <v>407</v>
      </c>
      <c r="G55" s="95" t="s">
        <v>285</v>
      </c>
      <c r="H55" s="113" t="s">
        <v>437</v>
      </c>
      <c r="I55" s="142" t="s">
        <v>437</v>
      </c>
      <c r="J55" s="32" t="str" cm="1">
        <f t="array" ref="J55">_xlfn.XLOOKUP(Background!$C$2,Languages!$B$1:$D$1,_xlfn.XLOOKUP("REF_SUOSITUS_8.3",Languages!$A$2:$A$99,Languages!$B$2:$D$99))</f>
        <v xml:space="preserve">8.3 Salauksen elinkaari </v>
      </c>
      <c r="K55" s="142" t="s">
        <v>285</v>
      </c>
      <c r="L55" s="33"/>
      <c r="M55" s="33" t="s">
        <v>176</v>
      </c>
      <c r="N55" s="34"/>
      <c r="O55" s="34"/>
      <c r="P55" s="34"/>
      <c r="Q55" s="34"/>
      <c r="R55" s="34"/>
      <c r="S55" s="34" t="s">
        <v>637</v>
      </c>
      <c r="T55" s="34"/>
      <c r="U55" s="34" t="s">
        <v>680</v>
      </c>
      <c r="V55" s="34" t="s">
        <v>171</v>
      </c>
      <c r="W55" s="34"/>
      <c r="X55" s="34" t="s">
        <v>177</v>
      </c>
      <c r="Y55" s="34"/>
      <c r="Z55" s="34"/>
      <c r="AA55" s="34"/>
      <c r="AB55" s="34"/>
      <c r="AC55" s="34"/>
      <c r="AD55" s="34"/>
      <c r="AE55" s="61"/>
      <c r="AF55" s="71"/>
    </row>
    <row r="56" spans="1:32" ht="90" x14ac:dyDescent="0.25">
      <c r="A56" s="71"/>
      <c r="B56" s="119">
        <v>49</v>
      </c>
      <c r="C56" s="158" t="s">
        <v>294</v>
      </c>
      <c r="D56" s="96" t="s">
        <v>386</v>
      </c>
      <c r="E56" s="35" t="s">
        <v>181</v>
      </c>
      <c r="F56" s="35" t="s">
        <v>386</v>
      </c>
      <c r="G56" s="97" t="s">
        <v>452</v>
      </c>
      <c r="H56" s="114" t="s">
        <v>438</v>
      </c>
      <c r="I56" s="143" t="s">
        <v>750</v>
      </c>
      <c r="J56" s="36" t="str" cm="1">
        <f t="array" ref="J56">_xlfn.XLOOKUP(Background!$C$2,Languages!$B$1:$D$1,_xlfn.XLOOKUP("REF_SUOSITUS_9.1",Languages!$A$2:$A$99,Languages!$B$2:$D$99))</f>
        <v xml:space="preserve">9.1 Poikkeamanhallinnan menettelyt  </v>
      </c>
      <c r="K56" s="143" t="s">
        <v>704</v>
      </c>
      <c r="L56" s="37"/>
      <c r="M56" s="37" t="s">
        <v>179</v>
      </c>
      <c r="N56" s="38"/>
      <c r="O56" s="38" t="s">
        <v>592</v>
      </c>
      <c r="P56" s="38" t="s">
        <v>593</v>
      </c>
      <c r="Q56" s="38"/>
      <c r="R56" s="38" t="s">
        <v>178</v>
      </c>
      <c r="S56" s="38" t="s">
        <v>739</v>
      </c>
      <c r="T56" s="38"/>
      <c r="U56" s="38" t="s">
        <v>681</v>
      </c>
      <c r="V56" s="38"/>
      <c r="W56" s="38" t="s">
        <v>180</v>
      </c>
      <c r="X56" s="38" t="s">
        <v>622</v>
      </c>
      <c r="Y56" s="38"/>
      <c r="Z56" s="38"/>
      <c r="AA56" s="38" t="s">
        <v>604</v>
      </c>
      <c r="AB56" s="38"/>
      <c r="AC56" s="38"/>
      <c r="AD56" s="38"/>
      <c r="AE56" s="62"/>
      <c r="AF56" s="71"/>
    </row>
    <row r="57" spans="1:32" ht="75.75" x14ac:dyDescent="0.25">
      <c r="A57" s="71"/>
      <c r="B57" s="119">
        <v>50</v>
      </c>
      <c r="C57" s="158" t="s">
        <v>294</v>
      </c>
      <c r="D57" s="96" t="s">
        <v>388</v>
      </c>
      <c r="E57" s="35" t="s">
        <v>185</v>
      </c>
      <c r="F57" s="35" t="s">
        <v>388</v>
      </c>
      <c r="G57" s="97" t="s">
        <v>286</v>
      </c>
      <c r="H57" s="114" t="s">
        <v>438</v>
      </c>
      <c r="I57" s="143" t="s">
        <v>750</v>
      </c>
      <c r="J57" s="36" t="str" cm="1">
        <f t="array" ref="J57">_xlfn.XLOOKUP(Background!$C$2,Languages!$B$1:$D$1,_xlfn.XLOOKUP("REF_SUOSITUS_9.2",Languages!$A$2:$A$99,Languages!$B$2:$D$99))</f>
        <v xml:space="preserve">9.2 Poikkeamien raportointikanavat </v>
      </c>
      <c r="K57" s="143" t="s">
        <v>286</v>
      </c>
      <c r="L57" s="37"/>
      <c r="M57" s="37" t="s">
        <v>183</v>
      </c>
      <c r="N57" s="38"/>
      <c r="O57" s="38" t="s">
        <v>594</v>
      </c>
      <c r="P57" s="38"/>
      <c r="Q57" s="38"/>
      <c r="R57" s="38" t="s">
        <v>182</v>
      </c>
      <c r="S57" s="38" t="s">
        <v>740</v>
      </c>
      <c r="T57" s="38"/>
      <c r="U57" s="38" t="s">
        <v>682</v>
      </c>
      <c r="V57" s="38"/>
      <c r="W57" s="38" t="s">
        <v>184</v>
      </c>
      <c r="X57" s="38" t="s">
        <v>557</v>
      </c>
      <c r="Y57" s="38"/>
      <c r="Z57" s="38"/>
      <c r="AA57" s="39" t="s">
        <v>605</v>
      </c>
      <c r="AB57" s="38"/>
      <c r="AC57" s="38"/>
      <c r="AD57" s="38"/>
      <c r="AE57" s="62"/>
      <c r="AF57" s="71"/>
    </row>
    <row r="58" spans="1:32" ht="105" x14ac:dyDescent="0.25">
      <c r="A58" s="71"/>
      <c r="B58" s="119">
        <v>51</v>
      </c>
      <c r="C58" s="158" t="s">
        <v>294</v>
      </c>
      <c r="D58" s="96" t="s">
        <v>387</v>
      </c>
      <c r="E58" s="35" t="s">
        <v>188</v>
      </c>
      <c r="F58" s="35" t="s">
        <v>387</v>
      </c>
      <c r="G58" s="97" t="s">
        <v>453</v>
      </c>
      <c r="H58" s="114" t="s">
        <v>438</v>
      </c>
      <c r="I58" s="143" t="s">
        <v>750</v>
      </c>
      <c r="J58" s="36" t="str" cm="1">
        <f t="array" ref="J58">_xlfn.XLOOKUP(Background!$C$2,Languages!$B$1:$D$1,_xlfn.XLOOKUP("REF_SUOSITUS_9.3",Languages!$A$2:$A$99,Languages!$B$2:$D$99))</f>
        <v xml:space="preserve">9.3 Tapahtumien kirjaaminen ja havainnointi </v>
      </c>
      <c r="K58" s="143" t="s">
        <v>497</v>
      </c>
      <c r="L58" s="37"/>
      <c r="M58" s="37" t="s">
        <v>186</v>
      </c>
      <c r="N58" s="38"/>
      <c r="O58" s="38" t="s">
        <v>595</v>
      </c>
      <c r="P58" s="38"/>
      <c r="Q58" s="38"/>
      <c r="R58" s="38" t="s">
        <v>151</v>
      </c>
      <c r="S58" s="38" t="s">
        <v>741</v>
      </c>
      <c r="T58" s="38"/>
      <c r="U58" s="38" t="s">
        <v>674</v>
      </c>
      <c r="V58" s="38" t="s">
        <v>769</v>
      </c>
      <c r="W58" s="38" t="s">
        <v>187</v>
      </c>
      <c r="X58" s="38" t="s">
        <v>558</v>
      </c>
      <c r="Y58" s="38"/>
      <c r="Z58" s="38"/>
      <c r="AA58" s="38" t="s">
        <v>606</v>
      </c>
      <c r="AB58" s="38"/>
      <c r="AC58" s="38"/>
      <c r="AD58" s="38"/>
      <c r="AE58" s="62"/>
      <c r="AF58" s="71"/>
    </row>
    <row r="59" spans="1:32" ht="120" x14ac:dyDescent="0.25">
      <c r="A59" s="71"/>
      <c r="B59" s="119">
        <v>52</v>
      </c>
      <c r="C59" s="158" t="s">
        <v>294</v>
      </c>
      <c r="D59" s="96" t="s">
        <v>389</v>
      </c>
      <c r="E59" s="35" t="s">
        <v>192</v>
      </c>
      <c r="F59" s="35" t="s">
        <v>389</v>
      </c>
      <c r="G59" s="97" t="s">
        <v>454</v>
      </c>
      <c r="H59" s="114" t="s">
        <v>438</v>
      </c>
      <c r="I59" s="143" t="s">
        <v>750</v>
      </c>
      <c r="J59" s="36" t="str" cm="1">
        <f t="array" ref="J59">_xlfn.XLOOKUP(Background!$C$2,Languages!$B$1:$D$1,_xlfn.XLOOKUP("REF_SUOSITUS_9.4",Languages!$A$2:$A$99,Languages!$B$2:$D$99))</f>
        <v xml:space="preserve">9.4 Poikkeamien analysointi ja luokittelu  </v>
      </c>
      <c r="K59" s="143" t="s">
        <v>498</v>
      </c>
      <c r="L59" s="37"/>
      <c r="M59" s="37" t="s">
        <v>190</v>
      </c>
      <c r="N59" s="38"/>
      <c r="O59" s="40" t="s">
        <v>137</v>
      </c>
      <c r="P59" s="38" t="s">
        <v>596</v>
      </c>
      <c r="Q59" s="38"/>
      <c r="R59" s="38" t="s">
        <v>189</v>
      </c>
      <c r="S59" s="38" t="s">
        <v>638</v>
      </c>
      <c r="T59" s="38"/>
      <c r="U59" s="38" t="s">
        <v>683</v>
      </c>
      <c r="V59" s="38"/>
      <c r="W59" s="38" t="s">
        <v>191</v>
      </c>
      <c r="X59" s="38" t="s">
        <v>559</v>
      </c>
      <c r="Y59" s="38"/>
      <c r="Z59" s="38"/>
      <c r="AA59" s="38" t="s">
        <v>607</v>
      </c>
      <c r="AB59" s="38"/>
      <c r="AC59" s="38"/>
      <c r="AD59" s="38"/>
      <c r="AE59" s="62"/>
      <c r="AF59" s="71"/>
    </row>
    <row r="60" spans="1:32" ht="165" x14ac:dyDescent="0.25">
      <c r="A60" s="71"/>
      <c r="B60" s="119">
        <v>53</v>
      </c>
      <c r="C60" s="158" t="s">
        <v>294</v>
      </c>
      <c r="D60" s="96" t="s">
        <v>390</v>
      </c>
      <c r="E60" s="35" t="s">
        <v>197</v>
      </c>
      <c r="F60" s="35" t="s">
        <v>390</v>
      </c>
      <c r="G60" s="97" t="s">
        <v>455</v>
      </c>
      <c r="H60" s="114" t="s">
        <v>438</v>
      </c>
      <c r="I60" s="143" t="s">
        <v>750</v>
      </c>
      <c r="J60" s="36" t="str" cm="1">
        <f t="array" ref="J60">_xlfn.XLOOKUP(Background!$C$2,Languages!$B$1:$D$1,_xlfn.XLOOKUP("REF_SUOSITUS_9.5",Languages!$A$2:$A$99,Languages!$B$2:$D$99))</f>
        <v xml:space="preserve">9.5 Poikkeaman käsittely  </v>
      </c>
      <c r="K60" s="143" t="s">
        <v>499</v>
      </c>
      <c r="L60" s="37"/>
      <c r="M60" s="37" t="s">
        <v>194</v>
      </c>
      <c r="N60" s="38"/>
      <c r="O60" s="41" t="s">
        <v>597</v>
      </c>
      <c r="P60" s="38"/>
      <c r="Q60" s="38"/>
      <c r="R60" s="38" t="s">
        <v>193</v>
      </c>
      <c r="S60" s="38" t="s">
        <v>639</v>
      </c>
      <c r="T60" s="38"/>
      <c r="U60" s="38" t="s">
        <v>683</v>
      </c>
      <c r="V60" s="38"/>
      <c r="W60" s="38" t="s">
        <v>195</v>
      </c>
      <c r="X60" s="38" t="s">
        <v>196</v>
      </c>
      <c r="Y60" s="38"/>
      <c r="Z60" s="38"/>
      <c r="AA60" s="38" t="s">
        <v>608</v>
      </c>
      <c r="AB60" s="38"/>
      <c r="AC60" s="38"/>
      <c r="AD60" s="38"/>
      <c r="AE60" s="62"/>
      <c r="AF60" s="71"/>
    </row>
    <row r="61" spans="1:32" ht="75" x14ac:dyDescent="0.25">
      <c r="A61" s="71"/>
      <c r="B61" s="119">
        <v>54</v>
      </c>
      <c r="C61" s="158" t="s">
        <v>294</v>
      </c>
      <c r="D61" s="96" t="s">
        <v>391</v>
      </c>
      <c r="E61" s="35" t="s">
        <v>201</v>
      </c>
      <c r="F61" s="35" t="s">
        <v>391</v>
      </c>
      <c r="G61" s="97" t="s">
        <v>456</v>
      </c>
      <c r="H61" s="114" t="s">
        <v>438</v>
      </c>
      <c r="I61" s="143" t="s">
        <v>750</v>
      </c>
      <c r="J61" s="36" t="str" cm="1">
        <f t="array" ref="J61">_xlfn.XLOOKUP(Background!$C$2,Languages!$B$1:$D$1,_xlfn.XLOOKUP("REF_SUOSITUS_9.6",Languages!$A$2:$A$99,Languages!$B$2:$D$99))</f>
        <v xml:space="preserve">9.6 Juurisyyanalyysi ja kokemuksista oppiminen  </v>
      </c>
      <c r="K61" s="143" t="s">
        <v>288</v>
      </c>
      <c r="L61" s="37"/>
      <c r="M61" s="37" t="s">
        <v>199</v>
      </c>
      <c r="N61" s="38"/>
      <c r="O61" s="38" t="s">
        <v>598</v>
      </c>
      <c r="P61" s="39" t="s">
        <v>8</v>
      </c>
      <c r="Q61" s="38"/>
      <c r="R61" s="38" t="s">
        <v>198</v>
      </c>
      <c r="S61" s="38" t="s">
        <v>742</v>
      </c>
      <c r="T61" s="38"/>
      <c r="U61" s="38"/>
      <c r="V61" s="38"/>
      <c r="W61" s="38" t="s">
        <v>200</v>
      </c>
      <c r="X61" s="38" t="s">
        <v>560</v>
      </c>
      <c r="Y61" s="38"/>
      <c r="Z61" s="38"/>
      <c r="AA61" s="41" t="s">
        <v>3</v>
      </c>
      <c r="AB61" s="38"/>
      <c r="AC61" s="38"/>
      <c r="AD61" s="38"/>
      <c r="AE61" s="62"/>
      <c r="AF61" s="71"/>
    </row>
    <row r="62" spans="1:32" ht="90" x14ac:dyDescent="0.25">
      <c r="A62" s="71"/>
      <c r="B62" s="119">
        <v>55</v>
      </c>
      <c r="C62" s="158" t="s">
        <v>293</v>
      </c>
      <c r="D62" s="96" t="s">
        <v>394</v>
      </c>
      <c r="E62" s="35"/>
      <c r="F62" s="35" t="s">
        <v>394</v>
      </c>
      <c r="G62" s="97" t="s">
        <v>457</v>
      </c>
      <c r="H62" s="114" t="s">
        <v>438</v>
      </c>
      <c r="I62" s="143" t="s">
        <v>750</v>
      </c>
      <c r="J62" s="36" t="str" cm="1">
        <f t="array" ref="J62">_xlfn.XLOOKUP(Background!$C$2,Languages!$B$1:$D$1,_xlfn.XLOOKUP("REF_SUOSITUS_9.7",Languages!$A$2:$A$99,Languages!$B$2:$D$99))</f>
        <v xml:space="preserve">9.7 Merkittävien poikkeamien lisäsuositukset </v>
      </c>
      <c r="K62" s="143" t="s">
        <v>289</v>
      </c>
      <c r="L62" s="37"/>
      <c r="M62" s="37" t="s">
        <v>203</v>
      </c>
      <c r="N62" s="38"/>
      <c r="O62" s="38"/>
      <c r="P62" s="38" t="s">
        <v>596</v>
      </c>
      <c r="Q62" s="38"/>
      <c r="R62" s="38" t="s">
        <v>202</v>
      </c>
      <c r="S62" s="38" t="s">
        <v>641</v>
      </c>
      <c r="T62" s="38"/>
      <c r="U62" s="38" t="s">
        <v>684</v>
      </c>
      <c r="V62" s="38"/>
      <c r="W62" s="38" t="s">
        <v>204</v>
      </c>
      <c r="X62" s="38" t="s">
        <v>561</v>
      </c>
      <c r="Y62" s="38"/>
      <c r="Z62" s="38"/>
      <c r="AA62" s="38"/>
      <c r="AB62" s="38"/>
      <c r="AC62" s="38"/>
      <c r="AD62" s="38"/>
      <c r="AE62" s="62"/>
      <c r="AF62" s="71"/>
    </row>
    <row r="63" spans="1:32" ht="60" x14ac:dyDescent="0.25">
      <c r="A63" s="71"/>
      <c r="B63" s="119">
        <v>56</v>
      </c>
      <c r="C63" s="158" t="s">
        <v>293</v>
      </c>
      <c r="D63" s="96" t="s">
        <v>425</v>
      </c>
      <c r="E63" s="35"/>
      <c r="F63" s="35" t="s">
        <v>425</v>
      </c>
      <c r="G63" s="97" t="s">
        <v>701</v>
      </c>
      <c r="H63" s="114" t="s">
        <v>438</v>
      </c>
      <c r="I63" s="143" t="s">
        <v>750</v>
      </c>
      <c r="J63" s="36" t="str" cm="1">
        <f t="array" ref="J63">_xlfn.XLOOKUP(Background!$C$2,Languages!$B$1:$D$1,_xlfn.XLOOKUP("REF_SUOSITUS_9.8",Languages!$A$2:$A$99,Languages!$B$2:$D$99))</f>
        <v xml:space="preserve">9.8 Tiedon jakamisen turvallisuus poikkeamatilanteessa  </v>
      </c>
      <c r="K63" s="143" t="s">
        <v>290</v>
      </c>
      <c r="L63" s="37"/>
      <c r="M63" s="37" t="s">
        <v>205</v>
      </c>
      <c r="N63" s="38"/>
      <c r="O63" s="40" t="s">
        <v>599</v>
      </c>
      <c r="P63" s="38" t="s">
        <v>600</v>
      </c>
      <c r="Q63" s="38"/>
      <c r="R63" s="38"/>
      <c r="S63" s="38" t="s">
        <v>642</v>
      </c>
      <c r="T63" s="38"/>
      <c r="U63" s="38" t="s">
        <v>684</v>
      </c>
      <c r="V63" s="38" t="s">
        <v>770</v>
      </c>
      <c r="W63" s="38" t="s">
        <v>206</v>
      </c>
      <c r="X63" s="38" t="s">
        <v>207</v>
      </c>
      <c r="Y63" s="38"/>
      <c r="Z63" s="38"/>
      <c r="AA63" s="38" t="s">
        <v>609</v>
      </c>
      <c r="AB63" s="38"/>
      <c r="AC63" s="38"/>
      <c r="AD63" s="38"/>
      <c r="AE63" s="62"/>
      <c r="AF63" s="71"/>
    </row>
    <row r="64" spans="1:32" ht="90" x14ac:dyDescent="0.25">
      <c r="A64" s="71"/>
      <c r="B64" s="119">
        <v>57</v>
      </c>
      <c r="C64" s="158" t="s">
        <v>294</v>
      </c>
      <c r="D64" s="96" t="s">
        <v>386</v>
      </c>
      <c r="E64" s="35" t="s">
        <v>181</v>
      </c>
      <c r="F64" s="35" t="s">
        <v>386</v>
      </c>
      <c r="G64" s="97" t="s">
        <v>452</v>
      </c>
      <c r="H64" s="114" t="s">
        <v>438</v>
      </c>
      <c r="I64" s="143" t="s">
        <v>750</v>
      </c>
      <c r="J64" s="36" t="str" cm="1">
        <f t="array" ref="J64">_xlfn.XLOOKUP(Background!$C$2,Languages!$B$1:$D$1,_xlfn.XLOOKUP("REF_SUOSITUS_9.9",Languages!$A$2:$A$99,Languages!$B$2:$D$99))</f>
        <v xml:space="preserve">9.9 Poikkeamanhallinnan elinkaaren hallinta </v>
      </c>
      <c r="K64" s="143" t="s">
        <v>456</v>
      </c>
      <c r="L64" s="37"/>
      <c r="M64" s="37" t="s">
        <v>209</v>
      </c>
      <c r="N64" s="38"/>
      <c r="O64" s="39" t="s">
        <v>601</v>
      </c>
      <c r="P64" s="38" t="s">
        <v>602</v>
      </c>
      <c r="Q64" s="38"/>
      <c r="R64" s="38" t="s">
        <v>208</v>
      </c>
      <c r="S64" s="38" t="s">
        <v>640</v>
      </c>
      <c r="T64" s="38"/>
      <c r="U64" s="38"/>
      <c r="V64" s="38"/>
      <c r="W64" s="38" t="s">
        <v>210</v>
      </c>
      <c r="X64" s="38" t="s">
        <v>42</v>
      </c>
      <c r="Y64" s="38"/>
      <c r="Z64" s="38"/>
      <c r="AA64" s="38" t="s">
        <v>610</v>
      </c>
      <c r="AB64" s="38"/>
      <c r="AC64" s="38"/>
      <c r="AD64" s="38"/>
      <c r="AE64" s="62"/>
      <c r="AF64" s="71"/>
    </row>
    <row r="65" spans="1:32" ht="150" x14ac:dyDescent="0.25">
      <c r="A65" s="71"/>
      <c r="B65" s="119">
        <v>58</v>
      </c>
      <c r="C65" s="159" t="s">
        <v>293</v>
      </c>
      <c r="D65" s="98" t="s">
        <v>392</v>
      </c>
      <c r="E65" s="42" t="s">
        <v>213</v>
      </c>
      <c r="F65" s="42" t="s">
        <v>392</v>
      </c>
      <c r="G65" s="99" t="s">
        <v>458</v>
      </c>
      <c r="H65" s="115" t="s">
        <v>429</v>
      </c>
      <c r="I65" s="144" t="s">
        <v>751</v>
      </c>
      <c r="J65" s="43" t="str" cm="1">
        <f t="array" ref="J65">_xlfn.XLOOKUP(Background!$C$2,Languages!$B$1:$D$1,_xlfn.XLOOKUP("REF_SUOSITUS_10.1",Languages!$A$2:$A$99,Languages!$B$2:$D$99))</f>
        <v xml:space="preserve">10.1 Jatkuvuus- ja toipumissuunnittelu </v>
      </c>
      <c r="K65" s="144" t="s">
        <v>500</v>
      </c>
      <c r="L65" s="44"/>
      <c r="M65" s="44" t="s">
        <v>212</v>
      </c>
      <c r="N65" s="45"/>
      <c r="O65" s="45"/>
      <c r="P65" s="45"/>
      <c r="Q65" s="45"/>
      <c r="R65" s="45" t="s">
        <v>211</v>
      </c>
      <c r="S65" s="45" t="s">
        <v>644</v>
      </c>
      <c r="T65" s="45"/>
      <c r="U65" s="45" t="s">
        <v>686</v>
      </c>
      <c r="V65" s="45"/>
      <c r="W65" s="45" t="s">
        <v>643</v>
      </c>
      <c r="X65" s="45" t="s">
        <v>621</v>
      </c>
      <c r="Y65" s="45"/>
      <c r="Z65" s="45"/>
      <c r="AA65" s="45"/>
      <c r="AB65" s="45"/>
      <c r="AC65" s="45"/>
      <c r="AD65" s="45"/>
      <c r="AE65" s="63"/>
      <c r="AF65" s="71"/>
    </row>
    <row r="66" spans="1:32" ht="75" x14ac:dyDescent="0.25">
      <c r="A66" s="71"/>
      <c r="B66" s="119">
        <v>59</v>
      </c>
      <c r="C66" s="159" t="s">
        <v>293</v>
      </c>
      <c r="D66" s="98" t="s">
        <v>393</v>
      </c>
      <c r="E66" s="42" t="s">
        <v>218</v>
      </c>
      <c r="F66" s="42" t="s">
        <v>393</v>
      </c>
      <c r="G66" s="99" t="s">
        <v>459</v>
      </c>
      <c r="H66" s="115" t="s">
        <v>429</v>
      </c>
      <c r="I66" s="144" t="s">
        <v>751</v>
      </c>
      <c r="J66" s="43" t="str" cm="1">
        <f t="array" ref="J66">_xlfn.XLOOKUP(Background!$C$2,Languages!$B$1:$D$1,_xlfn.XLOOKUP("REF_SUOSITUS_10.2",Languages!$A$2:$A$99,Languages!$B$2:$D$99))</f>
        <v xml:space="preserve">10.2 Varmuuskopiot ja varajärjestelmät  </v>
      </c>
      <c r="K66" s="144" t="s">
        <v>501</v>
      </c>
      <c r="L66" s="44"/>
      <c r="M66" s="44" t="s">
        <v>215</v>
      </c>
      <c r="N66" s="45"/>
      <c r="O66" s="45"/>
      <c r="P66" s="45"/>
      <c r="Q66" s="45"/>
      <c r="R66" s="45" t="s">
        <v>214</v>
      </c>
      <c r="S66" s="45" t="s">
        <v>645</v>
      </c>
      <c r="T66" s="45"/>
      <c r="U66" s="45" t="s">
        <v>685</v>
      </c>
      <c r="V66" s="45"/>
      <c r="W66" s="45" t="s">
        <v>216</v>
      </c>
      <c r="X66" s="45" t="s">
        <v>562</v>
      </c>
      <c r="Y66" s="45"/>
      <c r="Z66" s="45"/>
      <c r="AA66" s="45"/>
      <c r="AB66" s="45"/>
      <c r="AC66" s="45"/>
      <c r="AD66" s="45"/>
      <c r="AE66" s="63"/>
      <c r="AF66" s="71"/>
    </row>
    <row r="67" spans="1:32" ht="105" x14ac:dyDescent="0.25">
      <c r="A67" s="71"/>
      <c r="B67" s="119">
        <v>60</v>
      </c>
      <c r="C67" s="159" t="s">
        <v>293</v>
      </c>
      <c r="D67" s="98" t="s">
        <v>393</v>
      </c>
      <c r="E67" s="42" t="s">
        <v>218</v>
      </c>
      <c r="F67" s="42" t="s">
        <v>393</v>
      </c>
      <c r="G67" s="99" t="s">
        <v>459</v>
      </c>
      <c r="H67" s="115" t="s">
        <v>429</v>
      </c>
      <c r="I67" s="144" t="s">
        <v>751</v>
      </c>
      <c r="J67" s="43" t="str" cm="1">
        <f t="array" ref="J67">_xlfn.XLOOKUP(Background!$C$2,Languages!$B$1:$D$1,_xlfn.XLOOKUP("REF_SUOSITUS_10.3",Languages!$A$2:$A$99,Languages!$B$2:$D$99))</f>
        <v xml:space="preserve">10.3 Palautustestaus ja varmuuskopioiden suojaaminen  </v>
      </c>
      <c r="K67" s="144" t="s">
        <v>502</v>
      </c>
      <c r="L67" s="44"/>
      <c r="M67" s="44" t="s">
        <v>219</v>
      </c>
      <c r="N67" s="45"/>
      <c r="O67" s="45"/>
      <c r="P67" s="45"/>
      <c r="Q67" s="45"/>
      <c r="R67" s="45" t="s">
        <v>214</v>
      </c>
      <c r="S67" s="45" t="s">
        <v>646</v>
      </c>
      <c r="T67" s="45"/>
      <c r="U67" s="45" t="s">
        <v>687</v>
      </c>
      <c r="V67" s="45"/>
      <c r="W67" s="45" t="s">
        <v>220</v>
      </c>
      <c r="X67" s="45" t="s">
        <v>563</v>
      </c>
      <c r="Y67" s="45"/>
      <c r="Z67" s="45"/>
      <c r="AA67" s="45"/>
      <c r="AB67" s="45"/>
      <c r="AC67" s="45"/>
      <c r="AD67" s="45"/>
      <c r="AE67" s="63"/>
      <c r="AF67" s="71"/>
    </row>
    <row r="68" spans="1:32" ht="75" x14ac:dyDescent="0.25">
      <c r="A68" s="71"/>
      <c r="B68" s="119">
        <v>61</v>
      </c>
      <c r="C68" s="159" t="s">
        <v>293</v>
      </c>
      <c r="D68" s="98" t="s">
        <v>394</v>
      </c>
      <c r="E68" s="42" t="s">
        <v>222</v>
      </c>
      <c r="F68" s="42" t="s">
        <v>394</v>
      </c>
      <c r="G68" s="99" t="s">
        <v>457</v>
      </c>
      <c r="H68" s="115" t="s">
        <v>429</v>
      </c>
      <c r="I68" s="144" t="s">
        <v>751</v>
      </c>
      <c r="J68" s="43" t="str" cm="1">
        <f t="array" ref="J68">_xlfn.XLOOKUP(Background!$C$2,Languages!$B$1:$D$1,_xlfn.XLOOKUP("REF_SUOSITUS_10.4",Languages!$A$2:$A$99,Languages!$B$2:$D$99))</f>
        <v xml:space="preserve">10.4 Varaviestintäjärjestelmät </v>
      </c>
      <c r="K68" s="144" t="s">
        <v>287</v>
      </c>
      <c r="L68" s="44"/>
      <c r="M68" s="44" t="s">
        <v>221</v>
      </c>
      <c r="N68" s="45"/>
      <c r="O68" s="45"/>
      <c r="P68" s="45"/>
      <c r="Q68" s="45"/>
      <c r="R68" s="45"/>
      <c r="S68" s="45" t="s">
        <v>647</v>
      </c>
      <c r="T68" s="45"/>
      <c r="U68" s="45" t="s">
        <v>688</v>
      </c>
      <c r="V68" s="45"/>
      <c r="W68" s="45"/>
      <c r="X68" s="45" t="s">
        <v>564</v>
      </c>
      <c r="Y68" s="45"/>
      <c r="Z68" s="45"/>
      <c r="AA68" s="45"/>
      <c r="AB68" s="45"/>
      <c r="AC68" s="45"/>
      <c r="AD68" s="45"/>
      <c r="AE68" s="63"/>
      <c r="AF68" s="71"/>
    </row>
    <row r="69" spans="1:32" ht="90" x14ac:dyDescent="0.25">
      <c r="A69" s="71"/>
      <c r="B69" s="119">
        <v>62</v>
      </c>
      <c r="C69" s="160" t="s">
        <v>303</v>
      </c>
      <c r="D69" s="100" t="s">
        <v>405</v>
      </c>
      <c r="E69" s="46" t="s">
        <v>305</v>
      </c>
      <c r="F69" s="46" t="s">
        <v>405</v>
      </c>
      <c r="G69" s="101" t="s">
        <v>450</v>
      </c>
      <c r="H69" s="116" t="s">
        <v>430</v>
      </c>
      <c r="I69" s="145" t="s">
        <v>430</v>
      </c>
      <c r="J69" s="47" t="str" cm="1">
        <f t="array" ref="J69">_xlfn.XLOOKUP(Background!$C$2,Languages!$B$1:$D$1,_xlfn.XLOOKUP("REF_SUOSITUS_11.1",Languages!$A$2:$A$99,Languages!$B$2:$D$99))</f>
        <v>11.1 Toimija on ohjeistanut perustason tietoturvakäytännöt henkilöstölle, alihankkijoille ja muille kumppaneille</v>
      </c>
      <c r="K69" s="145" t="s">
        <v>503</v>
      </c>
      <c r="L69" s="48"/>
      <c r="M69" s="48" t="s">
        <v>5</v>
      </c>
      <c r="N69" s="49"/>
      <c r="O69" s="49"/>
      <c r="P69" s="49"/>
      <c r="Q69" s="49"/>
      <c r="R69" s="49" t="s">
        <v>223</v>
      </c>
      <c r="S69" s="49" t="s">
        <v>648</v>
      </c>
      <c r="T69" s="49"/>
      <c r="U69" s="49" t="s">
        <v>689</v>
      </c>
      <c r="V69" s="49"/>
      <c r="W69" s="49" t="s">
        <v>132</v>
      </c>
      <c r="X69" s="49" t="s">
        <v>133</v>
      </c>
      <c r="Y69" s="49"/>
      <c r="Z69" s="49"/>
      <c r="AA69" s="49"/>
      <c r="AB69" s="49"/>
      <c r="AC69" s="49"/>
      <c r="AD69" s="49"/>
      <c r="AE69" s="64"/>
      <c r="AF69" s="71"/>
    </row>
    <row r="70" spans="1:32" ht="90" x14ac:dyDescent="0.25">
      <c r="A70" s="71"/>
      <c r="B70" s="119">
        <v>63</v>
      </c>
      <c r="C70" s="160" t="s">
        <v>522</v>
      </c>
      <c r="D70" s="100" t="s">
        <v>520</v>
      </c>
      <c r="E70" s="46"/>
      <c r="F70" s="46" t="s">
        <v>520</v>
      </c>
      <c r="G70" s="101" t="s">
        <v>467</v>
      </c>
      <c r="H70" s="116" t="s">
        <v>430</v>
      </c>
      <c r="I70" s="145" t="s">
        <v>430</v>
      </c>
      <c r="J70" s="47" t="str" cm="1">
        <f t="array" ref="J70">_xlfn.XLOOKUP(Background!$C$2,Languages!$B$1:$D$1,_xlfn.XLOOKUP("REF_SUOSITUS_11.1.1",Languages!$A$2:$A$99,Languages!$B$2:$D$99))</f>
        <v>11.1.1 Ohjelma kybertietoisuuden lisäämiseksi - laajennettu ohjeistus</v>
      </c>
      <c r="K70" s="145" t="s">
        <v>467</v>
      </c>
      <c r="L70" s="48" t="s">
        <v>7</v>
      </c>
      <c r="M70" s="48"/>
      <c r="N70" s="49"/>
      <c r="O70" s="49"/>
      <c r="P70" s="49"/>
      <c r="Q70" s="49"/>
      <c r="R70" s="49"/>
      <c r="S70" s="49" t="s">
        <v>649</v>
      </c>
      <c r="T70" s="49"/>
      <c r="U70" s="49" t="s">
        <v>689</v>
      </c>
      <c r="V70" s="49"/>
      <c r="W70" s="49" t="s">
        <v>132</v>
      </c>
      <c r="X70" s="49" t="s">
        <v>133</v>
      </c>
      <c r="Y70" s="49"/>
      <c r="Z70" s="49"/>
      <c r="AA70" s="49"/>
      <c r="AB70" s="49"/>
      <c r="AC70" s="49"/>
      <c r="AD70" s="49"/>
      <c r="AE70" s="64"/>
      <c r="AF70" s="71"/>
    </row>
    <row r="71" spans="1:32" ht="90" x14ac:dyDescent="0.25">
      <c r="A71" s="71"/>
      <c r="B71" s="119">
        <v>64</v>
      </c>
      <c r="C71" s="160" t="s">
        <v>303</v>
      </c>
      <c r="D71" s="100"/>
      <c r="E71" s="46" t="s">
        <v>305</v>
      </c>
      <c r="F71" s="46"/>
      <c r="G71" s="101"/>
      <c r="H71" s="116" t="s">
        <v>430</v>
      </c>
      <c r="I71" s="145" t="s">
        <v>430</v>
      </c>
      <c r="J71" s="47" t="str" cm="1">
        <f t="array" ref="J71">_xlfn.XLOOKUP(Background!$C$2,Languages!$B$1:$D$1,_xlfn.XLOOKUP("REF_SUOSITUS_11.2",Languages!$A$2:$A$99,Languages!$B$2:$D$99))</f>
        <v xml:space="preserve">11.2 Toimija on tunnistanut kriittisimmän omaisuutensa </v>
      </c>
      <c r="K71" s="145" t="s">
        <v>504</v>
      </c>
      <c r="L71" s="48"/>
      <c r="M71" s="48" t="s">
        <v>13</v>
      </c>
      <c r="N71" s="49"/>
      <c r="O71" s="49"/>
      <c r="P71" s="49"/>
      <c r="Q71" s="49"/>
      <c r="R71" s="49" t="s">
        <v>28</v>
      </c>
      <c r="S71" s="49" t="s">
        <v>650</v>
      </c>
      <c r="T71" s="49"/>
      <c r="U71" s="49" t="s">
        <v>670</v>
      </c>
      <c r="V71" s="49"/>
      <c r="W71" s="49" t="s">
        <v>224</v>
      </c>
      <c r="X71" s="49" t="s">
        <v>225</v>
      </c>
      <c r="Y71" s="49"/>
      <c r="Z71" s="49"/>
      <c r="AA71" s="49"/>
      <c r="AB71" s="49"/>
      <c r="AC71" s="49"/>
      <c r="AD71" s="49"/>
      <c r="AE71" s="64"/>
      <c r="AF71" s="71"/>
    </row>
    <row r="72" spans="1:32" ht="90" x14ac:dyDescent="0.25">
      <c r="A72" s="71"/>
      <c r="B72" s="119">
        <v>65</v>
      </c>
      <c r="C72" s="160" t="s">
        <v>303</v>
      </c>
      <c r="D72" s="100"/>
      <c r="E72" s="46" t="s">
        <v>305</v>
      </c>
      <c r="F72" s="46"/>
      <c r="G72" s="101"/>
      <c r="H72" s="116" t="s">
        <v>430</v>
      </c>
      <c r="I72" s="145" t="s">
        <v>430</v>
      </c>
      <c r="J72" s="47" t="str" cm="1">
        <f t="array" ref="J72">_xlfn.XLOOKUP(Background!$C$2,Languages!$B$1:$D$1,_xlfn.XLOOKUP("REF_SUOSITUS_11.3",Languages!$A$2:$A$99,Languages!$B$2:$D$99))</f>
        <v xml:space="preserve">11.3 Toimija on suojannut viestintäverkkonsa ja tietojärjestelmänsä  </v>
      </c>
      <c r="K72" s="145" t="s">
        <v>505</v>
      </c>
      <c r="L72" s="48"/>
      <c r="M72" s="48" t="s">
        <v>227</v>
      </c>
      <c r="N72" s="49"/>
      <c r="O72" s="49"/>
      <c r="P72" s="49"/>
      <c r="Q72" s="49"/>
      <c r="R72" s="49" t="s">
        <v>226</v>
      </c>
      <c r="S72" s="49" t="s">
        <v>628</v>
      </c>
      <c r="T72" s="49"/>
      <c r="U72" s="49" t="s">
        <v>690</v>
      </c>
      <c r="V72" s="49" t="s">
        <v>771</v>
      </c>
      <c r="W72" s="49" t="s">
        <v>70</v>
      </c>
      <c r="X72" s="49" t="s">
        <v>169</v>
      </c>
      <c r="Y72" s="49"/>
      <c r="Z72" s="49"/>
      <c r="AA72" s="49"/>
      <c r="AB72" s="49"/>
      <c r="AC72" s="49"/>
      <c r="AD72" s="49"/>
      <c r="AE72" s="64"/>
      <c r="AF72" s="71"/>
    </row>
    <row r="73" spans="1:32" ht="90" x14ac:dyDescent="0.25">
      <c r="A73" s="71"/>
      <c r="B73" s="119">
        <v>66</v>
      </c>
      <c r="C73" s="160" t="s">
        <v>303</v>
      </c>
      <c r="D73" s="100"/>
      <c r="E73" s="46" t="s">
        <v>305</v>
      </c>
      <c r="F73" s="46"/>
      <c r="G73" s="101"/>
      <c r="H73" s="116" t="s">
        <v>430</v>
      </c>
      <c r="I73" s="145" t="s">
        <v>430</v>
      </c>
      <c r="J73" s="47" t="str" cm="1">
        <f t="array" ref="J73">_xlfn.XLOOKUP(Background!$C$2,Languages!$B$1:$D$1,_xlfn.XLOOKUP("REF_SUOSITUS_11.4",Languages!$A$2:$A$99,Languages!$B$2:$D$99))</f>
        <v xml:space="preserve">11.4 Toimija on erottanut kriittiset ja haavoittuvat viestintäverkot ja tietojärjestelmät muista ympäristöistä </v>
      </c>
      <c r="K73" s="145" t="s">
        <v>277</v>
      </c>
      <c r="L73" s="48"/>
      <c r="M73" s="48" t="s">
        <v>229</v>
      </c>
      <c r="N73" s="49"/>
      <c r="O73" s="49"/>
      <c r="P73" s="49"/>
      <c r="Q73" s="49"/>
      <c r="R73" s="49" t="s">
        <v>228</v>
      </c>
      <c r="S73" s="49" t="s">
        <v>651</v>
      </c>
      <c r="T73" s="49"/>
      <c r="U73" s="49" t="s">
        <v>690</v>
      </c>
      <c r="V73" s="49" t="s">
        <v>772</v>
      </c>
      <c r="W73" s="49" t="s">
        <v>161</v>
      </c>
      <c r="X73" s="49" t="s">
        <v>59</v>
      </c>
      <c r="Y73" s="49"/>
      <c r="Z73" s="49"/>
      <c r="AA73" s="49"/>
      <c r="AB73" s="49"/>
      <c r="AC73" s="49"/>
      <c r="AD73" s="49"/>
      <c r="AE73" s="64"/>
      <c r="AF73" s="71"/>
    </row>
    <row r="74" spans="1:32" ht="90" x14ac:dyDescent="0.25">
      <c r="A74" s="71"/>
      <c r="B74" s="119">
        <v>67</v>
      </c>
      <c r="C74" s="160" t="s">
        <v>303</v>
      </c>
      <c r="D74" s="100"/>
      <c r="E74" s="46" t="s">
        <v>305</v>
      </c>
      <c r="F74" s="46"/>
      <c r="G74" s="101"/>
      <c r="H74" s="116" t="s">
        <v>430</v>
      </c>
      <c r="I74" s="145" t="s">
        <v>430</v>
      </c>
      <c r="J74" s="47" t="str" cm="1">
        <f t="array" ref="J74">_xlfn.XLOOKUP(Background!$C$2,Languages!$B$1:$D$1,_xlfn.XLOOKUP("REF_SUOSITUS_11.5",Languages!$A$2:$A$99,Languages!$B$2:$D$99))</f>
        <v xml:space="preserve">11.5 Toimija on suojannut viestintäverkkonsa ja tietojärjestelmänsä haitallisia ja luvattomia ohjelmistoja vastaan  </v>
      </c>
      <c r="K74" s="145" t="s">
        <v>506</v>
      </c>
      <c r="L74" s="48"/>
      <c r="M74" s="48" t="s">
        <v>231</v>
      </c>
      <c r="N74" s="49"/>
      <c r="O74" s="49"/>
      <c r="P74" s="49"/>
      <c r="Q74" s="49"/>
      <c r="R74" s="49" t="s">
        <v>230</v>
      </c>
      <c r="S74" s="49" t="s">
        <v>652</v>
      </c>
      <c r="T74" s="49"/>
      <c r="U74" s="49" t="s">
        <v>691</v>
      </c>
      <c r="V74" s="49" t="s">
        <v>773</v>
      </c>
      <c r="W74" s="49" t="s">
        <v>232</v>
      </c>
      <c r="X74" s="49" t="s">
        <v>233</v>
      </c>
      <c r="Y74" s="49"/>
      <c r="Z74" s="49"/>
      <c r="AA74" s="49"/>
      <c r="AB74" s="49"/>
      <c r="AC74" s="49"/>
      <c r="AD74" s="49"/>
      <c r="AE74" s="64"/>
      <c r="AF74" s="71"/>
    </row>
    <row r="75" spans="1:32" ht="90" x14ac:dyDescent="0.25">
      <c r="A75" s="71"/>
      <c r="B75" s="119">
        <v>68</v>
      </c>
      <c r="C75" s="160" t="s">
        <v>303</v>
      </c>
      <c r="D75" s="100"/>
      <c r="E75" s="46" t="s">
        <v>305</v>
      </c>
      <c r="F75" s="46"/>
      <c r="G75" s="101"/>
      <c r="H75" s="116" t="s">
        <v>430</v>
      </c>
      <c r="I75" s="145" t="s">
        <v>430</v>
      </c>
      <c r="J75" s="47" t="str" cm="1">
        <f t="array" ref="J75">_xlfn.XLOOKUP(Background!$C$2,Languages!$B$1:$D$1,_xlfn.XLOOKUP("REF_SUOSITUS_11.6",Languages!$A$2:$A$99,Languages!$B$2:$D$99))</f>
        <v xml:space="preserve">11.6 Toimija on järjestänyt tunnistautumisen sisäisiin ja ulkoisiin palveluihinsa ja laitteisiinsa turvallisesti  </v>
      </c>
      <c r="K75" s="145" t="s">
        <v>280</v>
      </c>
      <c r="L75" s="48"/>
      <c r="M75" s="48" t="s">
        <v>235</v>
      </c>
      <c r="N75" s="49"/>
      <c r="O75" s="49"/>
      <c r="P75" s="49"/>
      <c r="Q75" s="49"/>
      <c r="R75" s="49" t="s">
        <v>234</v>
      </c>
      <c r="S75" s="49" t="s">
        <v>653</v>
      </c>
      <c r="T75" s="49"/>
      <c r="U75" s="49" t="s">
        <v>692</v>
      </c>
      <c r="V75" s="49" t="s">
        <v>774</v>
      </c>
      <c r="W75" s="49" t="s">
        <v>236</v>
      </c>
      <c r="X75" s="49" t="s">
        <v>237</v>
      </c>
      <c r="Y75" s="49"/>
      <c r="Z75" s="49"/>
      <c r="AA75" s="49"/>
      <c r="AB75" s="49"/>
      <c r="AC75" s="49"/>
      <c r="AD75" s="49"/>
      <c r="AE75" s="64"/>
      <c r="AF75" s="71"/>
    </row>
    <row r="76" spans="1:32" ht="90" x14ac:dyDescent="0.25">
      <c r="A76" s="71"/>
      <c r="B76" s="119">
        <v>69</v>
      </c>
      <c r="C76" s="160" t="s">
        <v>303</v>
      </c>
      <c r="D76" s="100"/>
      <c r="E76" s="46" t="s">
        <v>305</v>
      </c>
      <c r="F76" s="46"/>
      <c r="G76" s="101"/>
      <c r="H76" s="116" t="s">
        <v>430</v>
      </c>
      <c r="I76" s="145" t="s">
        <v>430</v>
      </c>
      <c r="J76" s="47" t="str" cm="1">
        <f t="array" ref="J76">_xlfn.XLOOKUP(Background!$C$2,Languages!$B$1:$D$1,_xlfn.XLOOKUP("REF_SUOSITUS_11.7",Languages!$A$2:$A$99,Languages!$B$2:$D$99))</f>
        <v xml:space="preserve">11.7 Toimija on erottanut järjestelmiensä pääkäyttäjätunnukset ja korotettujen oikeuksien tunnukset muista tunnuksista </v>
      </c>
      <c r="K76" s="145" t="s">
        <v>496</v>
      </c>
      <c r="L76" s="48"/>
      <c r="M76" s="48" t="s">
        <v>239</v>
      </c>
      <c r="N76" s="49"/>
      <c r="O76" s="49"/>
      <c r="P76" s="49"/>
      <c r="Q76" s="49"/>
      <c r="R76" s="49" t="s">
        <v>238</v>
      </c>
      <c r="S76" s="49" t="s">
        <v>635</v>
      </c>
      <c r="T76" s="49"/>
      <c r="U76" s="49" t="s">
        <v>693</v>
      </c>
      <c r="V76" s="49"/>
      <c r="W76" s="49" t="s">
        <v>143</v>
      </c>
      <c r="X76" s="49" t="s">
        <v>162</v>
      </c>
      <c r="Y76" s="49"/>
      <c r="Z76" s="49"/>
      <c r="AA76" s="49"/>
      <c r="AB76" s="49"/>
      <c r="AC76" s="49"/>
      <c r="AD76" s="49"/>
      <c r="AE76" s="64"/>
      <c r="AF76" s="71"/>
    </row>
    <row r="77" spans="1:32" ht="120" x14ac:dyDescent="0.25">
      <c r="A77" s="71"/>
      <c r="B77" s="119">
        <v>70</v>
      </c>
      <c r="C77" s="160" t="s">
        <v>303</v>
      </c>
      <c r="D77" s="100"/>
      <c r="E77" s="46" t="s">
        <v>305</v>
      </c>
      <c r="F77" s="46"/>
      <c r="G77" s="101"/>
      <c r="H77" s="116" t="s">
        <v>430</v>
      </c>
      <c r="I77" s="145" t="s">
        <v>430</v>
      </c>
      <c r="J77" s="47" t="str" cm="1">
        <f t="array" ref="J77">_xlfn.XLOOKUP(Background!$C$2,Languages!$B$1:$D$1,_xlfn.XLOOKUP("REF_SUOSITUS_11.8",Languages!$A$2:$A$99,Languages!$B$2:$D$99))</f>
        <v>11.8 Toimija on varmistanut, että sen luottamuksellista tietoa käsitellään turvallisesti</v>
      </c>
      <c r="K77" s="145" t="s">
        <v>507</v>
      </c>
      <c r="L77" s="48"/>
      <c r="M77" s="48" t="s">
        <v>241</v>
      </c>
      <c r="N77" s="49"/>
      <c r="O77" s="49"/>
      <c r="P77" s="49"/>
      <c r="Q77" s="49"/>
      <c r="R77" s="49" t="s">
        <v>240</v>
      </c>
      <c r="S77" s="49" t="s">
        <v>654</v>
      </c>
      <c r="T77" s="49"/>
      <c r="U77" s="49" t="s">
        <v>694</v>
      </c>
      <c r="V77" s="49" t="s">
        <v>775</v>
      </c>
      <c r="W77" s="49" t="s">
        <v>242</v>
      </c>
      <c r="X77" s="49" t="s">
        <v>243</v>
      </c>
      <c r="Y77" s="49"/>
      <c r="Z77" s="49"/>
      <c r="AA77" s="49"/>
      <c r="AB77" s="49"/>
      <c r="AC77" s="49"/>
      <c r="AD77" s="49"/>
      <c r="AE77" s="64"/>
      <c r="AF77" s="71"/>
    </row>
    <row r="78" spans="1:32" ht="120" x14ac:dyDescent="0.25">
      <c r="A78" s="71"/>
      <c r="B78" s="119">
        <v>71</v>
      </c>
      <c r="C78" s="160" t="s">
        <v>303</v>
      </c>
      <c r="D78" s="100"/>
      <c r="E78" s="46" t="s">
        <v>305</v>
      </c>
      <c r="F78" s="46"/>
      <c r="G78" s="101"/>
      <c r="H78" s="116" t="s">
        <v>430</v>
      </c>
      <c r="I78" s="145" t="s">
        <v>430</v>
      </c>
      <c r="J78" s="47" t="str" cm="1">
        <f t="array" ref="J78">_xlfn.XLOOKUP(Background!$C$2,Languages!$B$1:$D$1,_xlfn.XLOOKUP("REF_SUOSITUS_11.9",Languages!$A$2:$A$99,Languages!$B$2:$D$99))</f>
        <v xml:space="preserve">11.9 Toimija on huolehtinut, että sen järjestelmiä päivitetään säännöllisesti ja kriittiset päivitykset asennetaan viivytyksettä  </v>
      </c>
      <c r="K78" s="145" t="s">
        <v>508</v>
      </c>
      <c r="L78" s="48"/>
      <c r="M78" s="48" t="s">
        <v>245</v>
      </c>
      <c r="N78" s="49"/>
      <c r="O78" s="49"/>
      <c r="P78" s="49"/>
      <c r="Q78" s="49"/>
      <c r="R78" s="49" t="s">
        <v>244</v>
      </c>
      <c r="S78" s="49" t="s">
        <v>655</v>
      </c>
      <c r="T78" s="49"/>
      <c r="U78" s="49" t="s">
        <v>695</v>
      </c>
      <c r="V78" s="49"/>
      <c r="W78" s="49" t="s">
        <v>246</v>
      </c>
      <c r="X78" s="49" t="s">
        <v>247</v>
      </c>
      <c r="Y78" s="49"/>
      <c r="Z78" s="49"/>
      <c r="AA78" s="49"/>
      <c r="AB78" s="49"/>
      <c r="AC78" s="49"/>
      <c r="AD78" s="49"/>
      <c r="AE78" s="64"/>
      <c r="AF78" s="71"/>
    </row>
    <row r="79" spans="1:32" ht="90" x14ac:dyDescent="0.25">
      <c r="A79" s="71"/>
      <c r="B79" s="119">
        <v>72</v>
      </c>
      <c r="C79" s="160" t="s">
        <v>303</v>
      </c>
      <c r="D79" s="100"/>
      <c r="E79" s="46" t="s">
        <v>305</v>
      </c>
      <c r="F79" s="46"/>
      <c r="G79" s="101"/>
      <c r="H79" s="116" t="s">
        <v>430</v>
      </c>
      <c r="I79" s="145" t="s">
        <v>430</v>
      </c>
      <c r="J79" s="47" t="str" cm="1">
        <f t="array" ref="J79">_xlfn.XLOOKUP(Background!$C$2,Languages!$B$1:$D$1,_xlfn.XLOOKUP("REF_SUOSITUS_11.10",Languages!$A$2:$A$99,Languages!$B$2:$D$99))</f>
        <v xml:space="preserve">11.10 Toimija on huolehtinut, että sen palvelut ja laitteet on turvallisesti konfiguroitu </v>
      </c>
      <c r="K79" s="145" t="s">
        <v>292</v>
      </c>
      <c r="L79" s="48"/>
      <c r="M79" s="48" t="s">
        <v>248</v>
      </c>
      <c r="N79" s="49"/>
      <c r="O79" s="49"/>
      <c r="P79" s="49"/>
      <c r="Q79" s="49"/>
      <c r="R79" s="49"/>
      <c r="S79" s="49" t="s">
        <v>656</v>
      </c>
      <c r="T79" s="49"/>
      <c r="U79" s="49" t="s">
        <v>696</v>
      </c>
      <c r="V79" s="49" t="s">
        <v>776</v>
      </c>
      <c r="W79" s="49" t="s">
        <v>66</v>
      </c>
      <c r="X79" s="49" t="s">
        <v>247</v>
      </c>
      <c r="Y79" s="49"/>
      <c r="Z79" s="49"/>
      <c r="AA79" s="49"/>
      <c r="AB79" s="49"/>
      <c r="AC79" s="49"/>
      <c r="AD79" s="49"/>
      <c r="AE79" s="64"/>
      <c r="AF79" s="71"/>
    </row>
    <row r="80" spans="1:32" ht="90" x14ac:dyDescent="0.25">
      <c r="A80" s="71"/>
      <c r="B80" s="119">
        <v>73</v>
      </c>
      <c r="C80" s="160" t="s">
        <v>303</v>
      </c>
      <c r="D80" s="100"/>
      <c r="E80" s="46" t="s">
        <v>305</v>
      </c>
      <c r="F80" s="46"/>
      <c r="G80" s="101"/>
      <c r="H80" s="116" t="s">
        <v>430</v>
      </c>
      <c r="I80" s="145" t="s">
        <v>430</v>
      </c>
      <c r="J80" s="47" t="str" cm="1">
        <f t="array" ref="J80">_xlfn.XLOOKUP(Background!$C$2,Languages!$B$1:$D$1,_xlfn.XLOOKUP("REF_SUOSITUS_11.11",Languages!$A$2:$A$99,Languages!$B$2:$D$99))</f>
        <v xml:space="preserve">11.11 Toimija on huolehtinut, että sen kriittiset palvelut ja tieto-omaisuus on varmuuskopioitu </v>
      </c>
      <c r="K80" s="145" t="s">
        <v>509</v>
      </c>
      <c r="L80" s="48"/>
      <c r="M80" s="48" t="s">
        <v>249</v>
      </c>
      <c r="N80" s="49"/>
      <c r="O80" s="49"/>
      <c r="P80" s="49"/>
      <c r="Q80" s="49"/>
      <c r="R80" s="49" t="s">
        <v>214</v>
      </c>
      <c r="S80" s="49" t="s">
        <v>657</v>
      </c>
      <c r="T80" s="49"/>
      <c r="U80" s="49" t="s">
        <v>697</v>
      </c>
      <c r="V80" s="49" t="s">
        <v>777</v>
      </c>
      <c r="W80" s="49" t="s">
        <v>250</v>
      </c>
      <c r="X80" s="49" t="s">
        <v>217</v>
      </c>
      <c r="Y80" s="49"/>
      <c r="Z80" s="49"/>
      <c r="AA80" s="49"/>
      <c r="AB80" s="49"/>
      <c r="AC80" s="49"/>
      <c r="AD80" s="49"/>
      <c r="AE80" s="64"/>
      <c r="AF80" s="71"/>
    </row>
    <row r="81" spans="1:32" ht="90" x14ac:dyDescent="0.25">
      <c r="A81" s="71"/>
      <c r="B81" s="119">
        <v>74</v>
      </c>
      <c r="C81" s="160" t="s">
        <v>303</v>
      </c>
      <c r="D81" s="100"/>
      <c r="E81" s="46" t="s">
        <v>305</v>
      </c>
      <c r="F81" s="46"/>
      <c r="G81" s="101"/>
      <c r="H81" s="116" t="s">
        <v>430</v>
      </c>
      <c r="I81" s="145" t="s">
        <v>430</v>
      </c>
      <c r="J81" s="47" t="str" cm="1">
        <f t="array" ref="J81">_xlfn.XLOOKUP(Background!$C$2,Languages!$B$1:$D$1,_xlfn.XLOOKUP("REF_SUOSITUS_11.12",Languages!$A$2:$A$99,Languages!$B$2:$D$99))</f>
        <v>11.12 Toimija on varautunut, miten sen toiminta voidaan ylläpitää vakavissa poikkeamissa</v>
      </c>
      <c r="K81" s="145" t="s">
        <v>510</v>
      </c>
      <c r="L81" s="48"/>
      <c r="M81" s="48" t="s">
        <v>251</v>
      </c>
      <c r="N81" s="49"/>
      <c r="O81" s="49"/>
      <c r="P81" s="49"/>
      <c r="Q81" s="49"/>
      <c r="R81" s="49" t="s">
        <v>211</v>
      </c>
      <c r="S81" s="49" t="s">
        <v>658</v>
      </c>
      <c r="T81" s="49"/>
      <c r="U81" s="49" t="s">
        <v>698</v>
      </c>
      <c r="V81" s="49"/>
      <c r="W81" s="49" t="s">
        <v>252</v>
      </c>
      <c r="X81" s="49" t="s">
        <v>253</v>
      </c>
      <c r="Y81" s="49"/>
      <c r="Z81" s="49"/>
      <c r="AA81" s="49"/>
      <c r="AB81" s="49"/>
      <c r="AC81" s="49"/>
      <c r="AD81" s="49"/>
      <c r="AE81" s="64"/>
      <c r="AF81" s="71"/>
    </row>
    <row r="82" spans="1:32" ht="90" x14ac:dyDescent="0.25">
      <c r="A82" s="71"/>
      <c r="B82" s="119">
        <v>75</v>
      </c>
      <c r="C82" s="160" t="s">
        <v>303</v>
      </c>
      <c r="D82" s="100"/>
      <c r="E82" s="46" t="s">
        <v>305</v>
      </c>
      <c r="F82" s="46"/>
      <c r="G82" s="101"/>
      <c r="H82" s="116" t="s">
        <v>430</v>
      </c>
      <c r="I82" s="145" t="s">
        <v>430</v>
      </c>
      <c r="J82" s="47" t="str" cm="1">
        <f t="array" ref="J82">_xlfn.XLOOKUP(Background!$C$2,Languages!$B$1:$D$1,_xlfn.XLOOKUP("REF_SUOSITUS_11.13",Languages!$A$2:$A$99,Languages!$B$2:$D$99))</f>
        <v xml:space="preserve">11.13 Toimijalla on käytössään kriittisten toimintojen tapahtumakirjaus (loki)  </v>
      </c>
      <c r="K82" s="145" t="s">
        <v>511</v>
      </c>
      <c r="L82" s="48"/>
      <c r="M82" s="48" t="s">
        <v>255</v>
      </c>
      <c r="N82" s="49"/>
      <c r="O82" s="49"/>
      <c r="P82" s="49"/>
      <c r="Q82" s="49"/>
      <c r="R82" s="49" t="s">
        <v>254</v>
      </c>
      <c r="S82" s="49" t="s">
        <v>659</v>
      </c>
      <c r="T82" s="49"/>
      <c r="U82" s="49" t="s">
        <v>699</v>
      </c>
      <c r="V82" s="49"/>
      <c r="W82" s="49" t="s">
        <v>256</v>
      </c>
      <c r="X82" s="49" t="s">
        <v>257</v>
      </c>
      <c r="Y82" s="49"/>
      <c r="Z82" s="49"/>
      <c r="AA82" s="49"/>
      <c r="AB82" s="49"/>
      <c r="AC82" s="49"/>
      <c r="AD82" s="49"/>
      <c r="AE82" s="64"/>
      <c r="AF82" s="71"/>
    </row>
    <row r="83" spans="1:32" ht="75" x14ac:dyDescent="0.25">
      <c r="A83" s="71"/>
      <c r="B83" s="119">
        <v>76</v>
      </c>
      <c r="C83" s="161" t="s">
        <v>297</v>
      </c>
      <c r="D83" s="102" t="s">
        <v>419</v>
      </c>
      <c r="E83" s="50" t="s">
        <v>260</v>
      </c>
      <c r="F83" s="50" t="s">
        <v>419</v>
      </c>
      <c r="G83" s="103" t="s">
        <v>460</v>
      </c>
      <c r="H83" s="117" t="s">
        <v>431</v>
      </c>
      <c r="I83" s="146" t="s">
        <v>752</v>
      </c>
      <c r="J83" s="51" t="str" cm="1">
        <f t="array" ref="J83">_xlfn.XLOOKUP(Background!$C$2,Languages!$B$1:$D$1,_xlfn.XLOOKUP("REF_SUOSITUS_12.1",Languages!$A$2:$A$99,Languages!$B$2:$D$99))</f>
        <v xml:space="preserve">12.1 Tilaturvallisuus ja fyysinen pääsynvalvonta  </v>
      </c>
      <c r="K83" s="146" t="s">
        <v>512</v>
      </c>
      <c r="L83" s="52"/>
      <c r="M83" s="52" t="s">
        <v>258</v>
      </c>
      <c r="N83" s="53"/>
      <c r="O83" s="53"/>
      <c r="P83" s="53"/>
      <c r="Q83" s="53"/>
      <c r="R83" s="53"/>
      <c r="S83" s="53" t="s">
        <v>662</v>
      </c>
      <c r="T83" s="53"/>
      <c r="U83" s="53"/>
      <c r="V83" s="53"/>
      <c r="W83" s="53" t="s">
        <v>259</v>
      </c>
      <c r="X83" s="53" t="s">
        <v>265</v>
      </c>
      <c r="Y83" s="53"/>
      <c r="Z83" s="53"/>
      <c r="AA83" s="53"/>
      <c r="AB83" s="53"/>
      <c r="AC83" s="53" t="s">
        <v>756</v>
      </c>
      <c r="AD83" s="53" t="s">
        <v>757</v>
      </c>
      <c r="AE83" s="65" t="s">
        <v>758</v>
      </c>
      <c r="AF83" s="71"/>
    </row>
    <row r="84" spans="1:32" ht="75" x14ac:dyDescent="0.25">
      <c r="A84" s="71"/>
      <c r="B84" s="119">
        <v>77</v>
      </c>
      <c r="C84" s="161" t="s">
        <v>299</v>
      </c>
      <c r="D84" s="102" t="s">
        <v>306</v>
      </c>
      <c r="E84" s="50" t="s">
        <v>261</v>
      </c>
      <c r="F84" s="50" t="s">
        <v>306</v>
      </c>
      <c r="G84" s="103" t="s">
        <v>465</v>
      </c>
      <c r="H84" s="117" t="s">
        <v>431</v>
      </c>
      <c r="I84" s="146" t="s">
        <v>752</v>
      </c>
      <c r="J84" s="51" t="str" cm="1">
        <f t="array" ref="J84">_xlfn.XLOOKUP(Background!$C$2,Languages!$B$1:$D$1,_xlfn.XLOOKUP("REF_SUOSITUS_12.2",Languages!$A$2:$A$99,Languages!$B$2:$D$99))</f>
        <v xml:space="preserve">12.2 Suojaus fyysisiä ja ympäristön aiheuttamia uhkia vastaan  </v>
      </c>
      <c r="K84" s="146" t="s">
        <v>513</v>
      </c>
      <c r="L84" s="52"/>
      <c r="M84" s="52" t="s">
        <v>262</v>
      </c>
      <c r="N84" s="53"/>
      <c r="O84" s="53"/>
      <c r="P84" s="53"/>
      <c r="Q84" s="53"/>
      <c r="R84" s="53"/>
      <c r="S84" s="53" t="s">
        <v>661</v>
      </c>
      <c r="T84" s="53"/>
      <c r="U84" s="53"/>
      <c r="V84" s="53"/>
      <c r="W84" s="53" t="s">
        <v>263</v>
      </c>
      <c r="X84" s="53" t="s">
        <v>264</v>
      </c>
      <c r="Y84" s="53"/>
      <c r="Z84" s="53"/>
      <c r="AA84" s="53"/>
      <c r="AB84" s="53"/>
      <c r="AC84" s="53" t="s">
        <v>756</v>
      </c>
      <c r="AD84" s="53" t="s">
        <v>757</v>
      </c>
      <c r="AE84" s="65" t="s">
        <v>758</v>
      </c>
      <c r="AF84" s="71"/>
    </row>
    <row r="85" spans="1:32" ht="105.75" thickBot="1" x14ac:dyDescent="0.3">
      <c r="A85" s="71"/>
      <c r="B85" s="120">
        <v>78</v>
      </c>
      <c r="C85" s="162" t="s">
        <v>293</v>
      </c>
      <c r="D85" s="104" t="s">
        <v>418</v>
      </c>
      <c r="E85" s="66" t="s">
        <v>268</v>
      </c>
      <c r="F85" s="66" t="s">
        <v>418</v>
      </c>
      <c r="G85" s="105" t="s">
        <v>461</v>
      </c>
      <c r="H85" s="118" t="s">
        <v>431</v>
      </c>
      <c r="I85" s="146" t="s">
        <v>752</v>
      </c>
      <c r="J85" s="67" t="str" cm="1">
        <f t="array" ref="J85">_xlfn.XLOOKUP(Background!$C$2,Languages!$B$1:$D$1,_xlfn.XLOOKUP("REF_SUOSITUS_12.3",Languages!$A$2:$A$99,Languages!$B$2:$D$99))</f>
        <v xml:space="preserve">12.3 Toiminnalle välttämättömien resurssien jatkuvuuden varmistaminen </v>
      </c>
      <c r="K85" s="147" t="s">
        <v>514</v>
      </c>
      <c r="L85" s="68"/>
      <c r="M85" s="68" t="s">
        <v>266</v>
      </c>
      <c r="N85" s="69"/>
      <c r="O85" s="69"/>
      <c r="P85" s="69"/>
      <c r="Q85" s="69"/>
      <c r="R85" s="69"/>
      <c r="S85" s="69" t="s">
        <v>660</v>
      </c>
      <c r="T85" s="69"/>
      <c r="U85" s="69" t="s">
        <v>700</v>
      </c>
      <c r="V85" s="69"/>
      <c r="W85" s="69" t="s">
        <v>267</v>
      </c>
      <c r="X85" s="69" t="s">
        <v>565</v>
      </c>
      <c r="Y85" s="69"/>
      <c r="Z85" s="69"/>
      <c r="AA85" s="69"/>
      <c r="AB85" s="69"/>
      <c r="AC85" s="69" t="s">
        <v>756</v>
      </c>
      <c r="AD85" s="69" t="s">
        <v>757</v>
      </c>
      <c r="AE85" s="70" t="s">
        <v>758</v>
      </c>
      <c r="AF85" s="71"/>
    </row>
    <row r="86" spans="1:32" ht="21" customHeight="1" x14ac:dyDescent="0.25">
      <c r="A86" s="71"/>
      <c r="B86" s="71"/>
      <c r="C86" s="71"/>
      <c r="D86" s="71"/>
      <c r="E86" s="71"/>
      <c r="F86" s="71"/>
      <c r="G86" s="71"/>
      <c r="H86" s="71"/>
      <c r="I86" s="71"/>
      <c r="J86" s="71"/>
      <c r="K86" s="71"/>
      <c r="L86" s="71"/>
      <c r="M86" s="71"/>
      <c r="N86" s="71"/>
      <c r="O86" s="71"/>
      <c r="P86" s="71"/>
      <c r="Q86" s="71"/>
      <c r="R86" s="71"/>
      <c r="S86" s="71"/>
      <c r="T86" s="71"/>
      <c r="U86" s="71"/>
      <c r="V86" s="71"/>
      <c r="W86" s="71"/>
      <c r="X86" s="71"/>
      <c r="Y86" s="71"/>
      <c r="Z86" s="71"/>
      <c r="AA86" s="71"/>
      <c r="AB86" s="71"/>
      <c r="AC86" s="71"/>
      <c r="AD86" s="71"/>
      <c r="AE86" s="71"/>
      <c r="AF86" s="71"/>
    </row>
  </sheetData>
  <autoFilter ref="B7:AB85" xr:uid="{D21FE58F-DC0E-4813-A3F0-BDB6359728C0}"/>
  <mergeCells count="1">
    <mergeCell ref="D3:G4"/>
  </mergeCells>
  <phoneticPr fontId="8" type="noConversion"/>
  <pageMargins left="0.25" right="0.25" top="0.75" bottom="0.75" header="0.3" footer="0.3"/>
  <pageSetup paperSize="9" scale="17"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34E3C1-78AE-4363-B25E-F46D07E75857}">
  <sheetPr>
    <tabColor rgb="FF00B050"/>
  </sheetPr>
  <dimension ref="A1:F93"/>
  <sheetViews>
    <sheetView workbookViewId="0"/>
  </sheetViews>
  <sheetFormatPr defaultRowHeight="15" x14ac:dyDescent="0.25"/>
  <cols>
    <col min="1" max="1" width="29.42578125" bestFit="1" customWidth="1"/>
    <col min="2" max="4" width="98.5703125" customWidth="1"/>
  </cols>
  <sheetData>
    <row r="1" spans="1:4" x14ac:dyDescent="0.25">
      <c r="A1" s="168" t="s">
        <v>780</v>
      </c>
      <c r="B1" s="168" t="s">
        <v>782</v>
      </c>
      <c r="C1" s="168" t="s">
        <v>781</v>
      </c>
      <c r="D1" s="168" t="s">
        <v>783</v>
      </c>
    </row>
    <row r="2" spans="1:4" x14ac:dyDescent="0.25">
      <c r="A2" s="168" t="s">
        <v>784</v>
      </c>
      <c r="B2" s="168" t="s">
        <v>793</v>
      </c>
      <c r="C2" s="168" t="s">
        <v>795</v>
      </c>
      <c r="D2" s="168" t="s">
        <v>796</v>
      </c>
    </row>
    <row r="3" spans="1:4" ht="90" customHeight="1" x14ac:dyDescent="0.25">
      <c r="A3" s="168" t="s">
        <v>794</v>
      </c>
      <c r="B3" s="169" t="s">
        <v>706</v>
      </c>
      <c r="C3" s="169" t="s">
        <v>798</v>
      </c>
      <c r="D3" s="169" t="s">
        <v>797</v>
      </c>
    </row>
    <row r="4" spans="1:4" ht="360" x14ac:dyDescent="0.25">
      <c r="A4" s="168" t="s">
        <v>785</v>
      </c>
      <c r="B4" s="169" t="s">
        <v>790</v>
      </c>
      <c r="C4" s="169" t="s">
        <v>789</v>
      </c>
      <c r="D4" s="169" t="s">
        <v>791</v>
      </c>
    </row>
    <row r="5" spans="1:4" ht="409.5" x14ac:dyDescent="0.25">
      <c r="A5" s="168" t="s">
        <v>786</v>
      </c>
      <c r="B5" s="170" t="s">
        <v>792</v>
      </c>
      <c r="C5" s="170" t="s">
        <v>799</v>
      </c>
      <c r="D5" s="170" t="s">
        <v>800</v>
      </c>
    </row>
    <row r="6" spans="1:4" ht="60" x14ac:dyDescent="0.25">
      <c r="A6" s="171" t="s">
        <v>787</v>
      </c>
      <c r="B6" s="191" t="s">
        <v>1064</v>
      </c>
      <c r="C6" s="172" t="s">
        <v>1065</v>
      </c>
      <c r="D6" s="172" t="s">
        <v>1066</v>
      </c>
    </row>
    <row r="7" spans="1:4" x14ac:dyDescent="0.25">
      <c r="A7" s="173" t="s">
        <v>801</v>
      </c>
      <c r="B7" s="170" t="s">
        <v>705</v>
      </c>
      <c r="C7" s="174" t="s">
        <v>811</v>
      </c>
      <c r="D7" s="174" t="s">
        <v>812</v>
      </c>
    </row>
    <row r="8" spans="1:4" ht="30" x14ac:dyDescent="0.25">
      <c r="A8" s="173" t="s">
        <v>802</v>
      </c>
      <c r="B8" s="170" t="s">
        <v>814</v>
      </c>
      <c r="C8" s="169" t="s">
        <v>515</v>
      </c>
      <c r="D8" s="169" t="s">
        <v>813</v>
      </c>
    </row>
    <row r="9" spans="1:4" ht="30" x14ac:dyDescent="0.25">
      <c r="A9" s="173" t="s">
        <v>804</v>
      </c>
      <c r="B9" s="170" t="s">
        <v>816</v>
      </c>
      <c r="C9" s="169" t="s">
        <v>518</v>
      </c>
      <c r="D9" s="169" t="s">
        <v>815</v>
      </c>
    </row>
    <row r="10" spans="1:4" x14ac:dyDescent="0.25">
      <c r="A10" s="173" t="s">
        <v>803</v>
      </c>
      <c r="B10" s="170" t="s">
        <v>817</v>
      </c>
      <c r="C10" s="175" t="s">
        <v>22</v>
      </c>
      <c r="D10" s="175" t="s">
        <v>818</v>
      </c>
    </row>
    <row r="11" spans="1:4" x14ac:dyDescent="0.25">
      <c r="A11" s="173" t="s">
        <v>805</v>
      </c>
      <c r="B11" s="170" t="s">
        <v>819</v>
      </c>
      <c r="C11" s="175" t="s">
        <v>712</v>
      </c>
      <c r="D11" s="175" t="s">
        <v>820</v>
      </c>
    </row>
    <row r="12" spans="1:4" x14ac:dyDescent="0.25">
      <c r="A12" s="173" t="s">
        <v>807</v>
      </c>
      <c r="B12" s="170" t="s">
        <v>822</v>
      </c>
      <c r="C12" s="175" t="s">
        <v>821</v>
      </c>
      <c r="D12" s="175" t="s">
        <v>823</v>
      </c>
    </row>
    <row r="13" spans="1:4" x14ac:dyDescent="0.25">
      <c r="A13" s="173" t="s">
        <v>808</v>
      </c>
      <c r="B13" s="170" t="s">
        <v>426</v>
      </c>
      <c r="C13" s="175" t="s">
        <v>824</v>
      </c>
      <c r="D13" s="175" t="s">
        <v>825</v>
      </c>
    </row>
    <row r="14" spans="1:4" x14ac:dyDescent="0.25">
      <c r="A14" s="173" t="s">
        <v>809</v>
      </c>
      <c r="B14" s="170" t="s">
        <v>827</v>
      </c>
      <c r="C14" s="175" t="s">
        <v>828</v>
      </c>
      <c r="D14" s="175" t="s">
        <v>826</v>
      </c>
    </row>
    <row r="15" spans="1:4" ht="30" x14ac:dyDescent="0.25">
      <c r="A15" s="173" t="s">
        <v>810</v>
      </c>
      <c r="B15" s="170" t="s">
        <v>382</v>
      </c>
      <c r="C15" s="169" t="s">
        <v>383</v>
      </c>
      <c r="D15" s="169" t="s">
        <v>829</v>
      </c>
    </row>
    <row r="16" spans="1:4" x14ac:dyDescent="0.25">
      <c r="A16" s="173" t="s">
        <v>806</v>
      </c>
      <c r="B16" s="170" t="s">
        <v>830</v>
      </c>
      <c r="C16" s="175" t="s">
        <v>831</v>
      </c>
      <c r="D16" s="175" t="s">
        <v>832</v>
      </c>
    </row>
    <row r="17" spans="1:6" x14ac:dyDescent="0.25">
      <c r="A17" s="168" t="s">
        <v>833</v>
      </c>
      <c r="B17" s="170" t="s">
        <v>910</v>
      </c>
      <c r="C17" s="169" t="s">
        <v>312</v>
      </c>
      <c r="D17" s="190" t="s">
        <v>1017</v>
      </c>
      <c r="E17" s="189"/>
      <c r="F17" s="189"/>
    </row>
    <row r="18" spans="1:6" x14ac:dyDescent="0.25">
      <c r="A18" s="168" t="s">
        <v>834</v>
      </c>
      <c r="B18" s="170" t="s">
        <v>911</v>
      </c>
      <c r="C18" s="169" t="s">
        <v>313</v>
      </c>
      <c r="D18" s="190" t="s">
        <v>987</v>
      </c>
      <c r="E18" s="189"/>
      <c r="F18" s="189"/>
    </row>
    <row r="19" spans="1:6" x14ac:dyDescent="0.25">
      <c r="A19" s="168" t="s">
        <v>835</v>
      </c>
      <c r="B19" s="170" t="s">
        <v>912</v>
      </c>
      <c r="C19" s="169" t="s">
        <v>361</v>
      </c>
      <c r="D19" s="190" t="s">
        <v>1018</v>
      </c>
      <c r="E19" s="189"/>
      <c r="F19" s="189"/>
    </row>
    <row r="20" spans="1:6" x14ac:dyDescent="0.25">
      <c r="A20" s="168" t="s">
        <v>836</v>
      </c>
      <c r="B20" s="170" t="s">
        <v>913</v>
      </c>
      <c r="C20" s="169" t="s">
        <v>318</v>
      </c>
      <c r="D20" s="190" t="s">
        <v>1019</v>
      </c>
      <c r="E20" s="189"/>
      <c r="F20" s="189"/>
    </row>
    <row r="21" spans="1:6" x14ac:dyDescent="0.25">
      <c r="A21" s="168" t="s">
        <v>837</v>
      </c>
      <c r="B21" s="170" t="s">
        <v>914</v>
      </c>
      <c r="C21" s="169" t="s">
        <v>375</v>
      </c>
      <c r="D21" s="190" t="s">
        <v>1020</v>
      </c>
      <c r="E21" s="189"/>
      <c r="F21" s="189"/>
    </row>
    <row r="22" spans="1:6" x14ac:dyDescent="0.25">
      <c r="A22" s="168" t="s">
        <v>838</v>
      </c>
      <c r="B22" s="170" t="s">
        <v>915</v>
      </c>
      <c r="C22" s="169" t="s">
        <v>376</v>
      </c>
      <c r="D22" s="190" t="s">
        <v>988</v>
      </c>
      <c r="E22" s="189"/>
      <c r="F22" s="189"/>
    </row>
    <row r="23" spans="1:6" x14ac:dyDescent="0.25">
      <c r="A23" s="168" t="s">
        <v>839</v>
      </c>
      <c r="B23" s="170" t="s">
        <v>916</v>
      </c>
      <c r="C23" s="169" t="s">
        <v>314</v>
      </c>
      <c r="D23" s="190" t="s">
        <v>1021</v>
      </c>
      <c r="E23" s="189"/>
      <c r="F23" s="189"/>
    </row>
    <row r="24" spans="1:6" x14ac:dyDescent="0.25">
      <c r="A24" s="168" t="s">
        <v>840</v>
      </c>
      <c r="B24" s="169" t="s">
        <v>917</v>
      </c>
      <c r="C24" s="169" t="s">
        <v>316</v>
      </c>
      <c r="D24" s="190" t="s">
        <v>1022</v>
      </c>
      <c r="E24" s="189"/>
      <c r="F24" s="189"/>
    </row>
    <row r="25" spans="1:6" x14ac:dyDescent="0.25">
      <c r="A25" s="168" t="s">
        <v>841</v>
      </c>
      <c r="B25" s="169" t="s">
        <v>918</v>
      </c>
      <c r="C25" s="169" t="s">
        <v>315</v>
      </c>
      <c r="D25" s="190" t="s">
        <v>989</v>
      </c>
      <c r="E25" s="189"/>
      <c r="F25" s="189"/>
    </row>
    <row r="26" spans="1:6" x14ac:dyDescent="0.25">
      <c r="A26" s="168" t="s">
        <v>842</v>
      </c>
      <c r="B26" s="169" t="s">
        <v>919</v>
      </c>
      <c r="C26" s="169" t="s">
        <v>309</v>
      </c>
      <c r="D26" s="190" t="s">
        <v>1023</v>
      </c>
      <c r="E26" s="189"/>
      <c r="F26" s="189"/>
    </row>
    <row r="27" spans="1:6" x14ac:dyDescent="0.25">
      <c r="A27" s="168" t="s">
        <v>843</v>
      </c>
      <c r="B27" s="169" t="s">
        <v>920</v>
      </c>
      <c r="C27" s="169" t="s">
        <v>311</v>
      </c>
      <c r="D27" s="190" t="s">
        <v>990</v>
      </c>
      <c r="E27" s="189"/>
      <c r="F27" s="189"/>
    </row>
    <row r="28" spans="1:6" x14ac:dyDescent="0.25">
      <c r="A28" s="168" t="s">
        <v>844</v>
      </c>
      <c r="B28" s="169" t="s">
        <v>921</v>
      </c>
      <c r="C28" s="169" t="s">
        <v>381</v>
      </c>
      <c r="D28" s="190" t="s">
        <v>1024</v>
      </c>
      <c r="E28" s="189"/>
      <c r="F28" s="189"/>
    </row>
    <row r="29" spans="1:6" x14ac:dyDescent="0.25">
      <c r="A29" s="168" t="s">
        <v>845</v>
      </c>
      <c r="B29" s="169" t="s">
        <v>922</v>
      </c>
      <c r="C29" s="169" t="s">
        <v>310</v>
      </c>
      <c r="D29" s="190" t="s">
        <v>1025</v>
      </c>
      <c r="E29" s="189"/>
      <c r="F29" s="189"/>
    </row>
    <row r="30" spans="1:6" x14ac:dyDescent="0.25">
      <c r="A30" s="168" t="s">
        <v>846</v>
      </c>
      <c r="B30" s="169" t="s">
        <v>923</v>
      </c>
      <c r="C30" s="169" t="s">
        <v>377</v>
      </c>
      <c r="D30" s="190" t="s">
        <v>1026</v>
      </c>
      <c r="E30" s="189"/>
      <c r="F30" s="189"/>
    </row>
    <row r="31" spans="1:6" x14ac:dyDescent="0.25">
      <c r="A31" s="168" t="s">
        <v>847</v>
      </c>
      <c r="B31" s="169" t="s">
        <v>924</v>
      </c>
      <c r="C31" s="169" t="s">
        <v>516</v>
      </c>
      <c r="D31" s="190" t="s">
        <v>991</v>
      </c>
      <c r="E31" s="189"/>
      <c r="F31" s="189"/>
    </row>
    <row r="32" spans="1:6" x14ac:dyDescent="0.25">
      <c r="A32" s="168" t="s">
        <v>848</v>
      </c>
      <c r="B32" s="169" t="s">
        <v>925</v>
      </c>
      <c r="C32" s="169" t="s">
        <v>341</v>
      </c>
      <c r="D32" s="190" t="s">
        <v>1027</v>
      </c>
      <c r="E32" s="189"/>
      <c r="F32" s="189"/>
    </row>
    <row r="33" spans="1:6" x14ac:dyDescent="0.25">
      <c r="A33" s="168" t="s">
        <v>849</v>
      </c>
      <c r="B33" s="169" t="s">
        <v>926</v>
      </c>
      <c r="C33" s="169" t="s">
        <v>335</v>
      </c>
      <c r="D33" s="190" t="s">
        <v>1028</v>
      </c>
      <c r="E33" s="189"/>
      <c r="F33" s="189"/>
    </row>
    <row r="34" spans="1:6" ht="30" x14ac:dyDescent="0.25">
      <c r="A34" s="168" t="s">
        <v>850</v>
      </c>
      <c r="B34" s="169" t="s">
        <v>927</v>
      </c>
      <c r="C34" s="169" t="s">
        <v>336</v>
      </c>
      <c r="D34" s="190" t="s">
        <v>992</v>
      </c>
      <c r="E34" s="189"/>
      <c r="F34" s="189"/>
    </row>
    <row r="35" spans="1:6" x14ac:dyDescent="0.25">
      <c r="A35" s="168" t="s">
        <v>851</v>
      </c>
      <c r="B35" s="169" t="s">
        <v>928</v>
      </c>
      <c r="C35" s="169" t="s">
        <v>337</v>
      </c>
      <c r="D35" s="190" t="s">
        <v>1029</v>
      </c>
      <c r="E35" s="189"/>
      <c r="F35" s="189"/>
    </row>
    <row r="36" spans="1:6" x14ac:dyDescent="0.25">
      <c r="A36" s="168" t="s">
        <v>852</v>
      </c>
      <c r="B36" s="169" t="s">
        <v>929</v>
      </c>
      <c r="C36" s="169" t="s">
        <v>338</v>
      </c>
      <c r="D36" s="190" t="s">
        <v>993</v>
      </c>
      <c r="E36" s="189"/>
      <c r="F36" s="189"/>
    </row>
    <row r="37" spans="1:6" x14ac:dyDescent="0.25">
      <c r="A37" s="168" t="s">
        <v>853</v>
      </c>
      <c r="B37" s="169" t="s">
        <v>930</v>
      </c>
      <c r="C37" s="169" t="s">
        <v>340</v>
      </c>
      <c r="D37" s="190" t="s">
        <v>1030</v>
      </c>
      <c r="E37" s="189"/>
      <c r="F37" s="189"/>
    </row>
    <row r="38" spans="1:6" x14ac:dyDescent="0.25">
      <c r="A38" s="168" t="s">
        <v>854</v>
      </c>
      <c r="B38" s="169" t="s">
        <v>931</v>
      </c>
      <c r="C38" s="169" t="s">
        <v>339</v>
      </c>
      <c r="D38" s="190" t="s">
        <v>1031</v>
      </c>
      <c r="E38" s="189"/>
      <c r="F38" s="189"/>
    </row>
    <row r="39" spans="1:6" x14ac:dyDescent="0.25">
      <c r="A39" s="168" t="s">
        <v>855</v>
      </c>
      <c r="B39" s="169" t="s">
        <v>932</v>
      </c>
      <c r="C39" s="169" t="s">
        <v>517</v>
      </c>
      <c r="D39" s="190" t="s">
        <v>1032</v>
      </c>
      <c r="E39" s="189"/>
      <c r="F39" s="189"/>
    </row>
    <row r="40" spans="1:6" x14ac:dyDescent="0.25">
      <c r="A40" s="168" t="s">
        <v>856</v>
      </c>
      <c r="B40" s="169" t="s">
        <v>933</v>
      </c>
      <c r="C40" s="169" t="s">
        <v>342</v>
      </c>
      <c r="D40" s="190" t="s">
        <v>1033</v>
      </c>
      <c r="E40" s="189"/>
      <c r="F40" s="189"/>
    </row>
    <row r="41" spans="1:6" x14ac:dyDescent="0.25">
      <c r="A41" s="168" t="s">
        <v>857</v>
      </c>
      <c r="B41" s="169" t="s">
        <v>934</v>
      </c>
      <c r="C41" s="169" t="s">
        <v>317</v>
      </c>
      <c r="D41" s="190" t="s">
        <v>1034</v>
      </c>
      <c r="E41" s="189"/>
      <c r="F41" s="189"/>
    </row>
    <row r="42" spans="1:6" x14ac:dyDescent="0.25">
      <c r="A42" s="168" t="s">
        <v>858</v>
      </c>
      <c r="B42" s="169" t="s">
        <v>935</v>
      </c>
      <c r="C42" s="169" t="s">
        <v>328</v>
      </c>
      <c r="D42" s="190" t="s">
        <v>1035</v>
      </c>
      <c r="E42" s="189"/>
      <c r="F42" s="189"/>
    </row>
    <row r="43" spans="1:6" x14ac:dyDescent="0.25">
      <c r="A43" s="168" t="s">
        <v>859</v>
      </c>
      <c r="B43" s="169" t="s">
        <v>936</v>
      </c>
      <c r="C43" s="169" t="s">
        <v>327</v>
      </c>
      <c r="D43" s="190" t="s">
        <v>1036</v>
      </c>
      <c r="E43" s="189"/>
      <c r="F43" s="189"/>
    </row>
    <row r="44" spans="1:6" x14ac:dyDescent="0.25">
      <c r="A44" s="168" t="s">
        <v>860</v>
      </c>
      <c r="B44" s="169" t="s">
        <v>937</v>
      </c>
      <c r="C44" s="169" t="s">
        <v>320</v>
      </c>
      <c r="D44" s="190" t="s">
        <v>1037</v>
      </c>
      <c r="E44" s="189"/>
      <c r="F44" s="189"/>
    </row>
    <row r="45" spans="1:6" x14ac:dyDescent="0.25">
      <c r="A45" s="168" t="s">
        <v>861</v>
      </c>
      <c r="B45" s="169" t="s">
        <v>938</v>
      </c>
      <c r="C45" s="169" t="s">
        <v>319</v>
      </c>
      <c r="D45" s="190" t="s">
        <v>1038</v>
      </c>
      <c r="E45" s="189"/>
      <c r="F45" s="189"/>
    </row>
    <row r="46" spans="1:6" x14ac:dyDescent="0.25">
      <c r="A46" s="168" t="s">
        <v>862</v>
      </c>
      <c r="B46" s="169" t="s">
        <v>939</v>
      </c>
      <c r="C46" s="169" t="s">
        <v>321</v>
      </c>
      <c r="D46" s="190" t="s">
        <v>1039</v>
      </c>
      <c r="E46" s="189"/>
      <c r="F46" s="189"/>
    </row>
    <row r="47" spans="1:6" x14ac:dyDescent="0.25">
      <c r="A47" s="168" t="s">
        <v>863</v>
      </c>
      <c r="B47" s="169" t="s">
        <v>940</v>
      </c>
      <c r="C47" s="169" t="s">
        <v>322</v>
      </c>
      <c r="D47" s="190" t="s">
        <v>1040</v>
      </c>
      <c r="E47" s="189"/>
      <c r="F47" s="189"/>
    </row>
    <row r="48" spans="1:6" x14ac:dyDescent="0.25">
      <c r="A48" s="168" t="s">
        <v>864</v>
      </c>
      <c r="B48" s="169" t="s">
        <v>941</v>
      </c>
      <c r="C48" s="169" t="s">
        <v>324</v>
      </c>
      <c r="D48" s="190" t="s">
        <v>1041</v>
      </c>
      <c r="E48" s="189"/>
      <c r="F48" s="189"/>
    </row>
    <row r="49" spans="1:6" x14ac:dyDescent="0.25">
      <c r="A49" s="168" t="s">
        <v>865</v>
      </c>
      <c r="B49" s="169" t="s">
        <v>942</v>
      </c>
      <c r="C49" s="169" t="s">
        <v>378</v>
      </c>
      <c r="D49" s="190" t="s">
        <v>1042</v>
      </c>
      <c r="E49" s="189"/>
      <c r="F49" s="189"/>
    </row>
    <row r="50" spans="1:6" x14ac:dyDescent="0.25">
      <c r="A50" s="168" t="s">
        <v>866</v>
      </c>
      <c r="B50" s="169" t="s">
        <v>943</v>
      </c>
      <c r="C50" s="169" t="s">
        <v>323</v>
      </c>
      <c r="D50" s="190" t="s">
        <v>1043</v>
      </c>
      <c r="E50" s="189"/>
      <c r="F50" s="189"/>
    </row>
    <row r="51" spans="1:6" x14ac:dyDescent="0.25">
      <c r="A51" s="168" t="s">
        <v>867</v>
      </c>
      <c r="B51" s="169" t="s">
        <v>944</v>
      </c>
      <c r="C51" s="169" t="s">
        <v>325</v>
      </c>
      <c r="D51" s="190" t="s">
        <v>1044</v>
      </c>
      <c r="E51" s="189"/>
      <c r="F51" s="189"/>
    </row>
    <row r="52" spans="1:6" x14ac:dyDescent="0.25">
      <c r="A52" s="168" t="s">
        <v>868</v>
      </c>
      <c r="B52" s="169" t="s">
        <v>945</v>
      </c>
      <c r="C52" s="169" t="s">
        <v>326</v>
      </c>
      <c r="D52" s="190" t="s">
        <v>994</v>
      </c>
      <c r="E52" s="189"/>
      <c r="F52" s="189"/>
    </row>
    <row r="53" spans="1:6" x14ac:dyDescent="0.25">
      <c r="A53" s="168" t="s">
        <v>869</v>
      </c>
      <c r="B53" s="169" t="s">
        <v>946</v>
      </c>
      <c r="C53" s="169" t="s">
        <v>308</v>
      </c>
      <c r="D53" s="190" t="s">
        <v>1045</v>
      </c>
      <c r="E53" s="189"/>
      <c r="F53" s="189"/>
    </row>
    <row r="54" spans="1:6" x14ac:dyDescent="0.25">
      <c r="A54" s="168" t="s">
        <v>870</v>
      </c>
      <c r="B54" s="169" t="s">
        <v>947</v>
      </c>
      <c r="C54" s="169" t="s">
        <v>329</v>
      </c>
      <c r="D54" s="190" t="s">
        <v>1046</v>
      </c>
      <c r="E54" s="189"/>
      <c r="F54" s="189"/>
    </row>
    <row r="55" spans="1:6" x14ac:dyDescent="0.25">
      <c r="A55" s="168" t="s">
        <v>871</v>
      </c>
      <c r="B55" s="169" t="s">
        <v>948</v>
      </c>
      <c r="C55" s="169" t="s">
        <v>330</v>
      </c>
      <c r="D55" s="190" t="s">
        <v>1047</v>
      </c>
      <c r="E55" s="189"/>
      <c r="F55" s="189"/>
    </row>
    <row r="56" spans="1:6" x14ac:dyDescent="0.25">
      <c r="A56" s="168" t="s">
        <v>872</v>
      </c>
      <c r="B56" s="169" t="s">
        <v>949</v>
      </c>
      <c r="C56" s="169" t="s">
        <v>331</v>
      </c>
      <c r="D56" s="190" t="s">
        <v>1048</v>
      </c>
      <c r="E56" s="189"/>
      <c r="F56" s="189"/>
    </row>
    <row r="57" spans="1:6" x14ac:dyDescent="0.25">
      <c r="A57" s="168" t="s">
        <v>873</v>
      </c>
      <c r="B57" s="169" t="s">
        <v>950</v>
      </c>
      <c r="C57" s="169" t="s">
        <v>348</v>
      </c>
      <c r="D57" s="190" t="s">
        <v>995</v>
      </c>
      <c r="E57" s="189"/>
      <c r="F57" s="189"/>
    </row>
    <row r="58" spans="1:6" x14ac:dyDescent="0.25">
      <c r="A58" s="168" t="s">
        <v>874</v>
      </c>
      <c r="B58" s="169" t="s">
        <v>951</v>
      </c>
      <c r="C58" s="169" t="s">
        <v>332</v>
      </c>
      <c r="D58" s="190" t="s">
        <v>1049</v>
      </c>
      <c r="E58" s="189"/>
      <c r="F58" s="189"/>
    </row>
    <row r="59" spans="1:6" x14ac:dyDescent="0.25">
      <c r="A59" s="168" t="s">
        <v>875</v>
      </c>
      <c r="B59" s="169" t="s">
        <v>952</v>
      </c>
      <c r="C59" s="169" t="s">
        <v>333</v>
      </c>
      <c r="D59" s="190" t="s">
        <v>1050</v>
      </c>
      <c r="E59" s="189"/>
      <c r="F59" s="189"/>
    </row>
    <row r="60" spans="1:6" x14ac:dyDescent="0.25">
      <c r="A60" s="168" t="s">
        <v>876</v>
      </c>
      <c r="B60" s="169" t="s">
        <v>953</v>
      </c>
      <c r="C60" s="169" t="s">
        <v>334</v>
      </c>
      <c r="D60" s="190" t="s">
        <v>1051</v>
      </c>
      <c r="E60" s="189"/>
      <c r="F60" s="189"/>
    </row>
    <row r="61" spans="1:6" x14ac:dyDescent="0.25">
      <c r="A61" s="168" t="s">
        <v>877</v>
      </c>
      <c r="B61" s="169" t="s">
        <v>954</v>
      </c>
      <c r="C61" s="169" t="s">
        <v>343</v>
      </c>
      <c r="D61" s="190" t="s">
        <v>1052</v>
      </c>
      <c r="E61" s="189"/>
      <c r="F61" s="189"/>
    </row>
    <row r="62" spans="1:6" x14ac:dyDescent="0.25">
      <c r="A62" s="168" t="s">
        <v>878</v>
      </c>
      <c r="B62" s="169" t="s">
        <v>955</v>
      </c>
      <c r="C62" s="169" t="s">
        <v>344</v>
      </c>
      <c r="D62" s="190" t="s">
        <v>1053</v>
      </c>
      <c r="E62" s="189"/>
      <c r="F62" s="189"/>
    </row>
    <row r="63" spans="1:6" x14ac:dyDescent="0.25">
      <c r="A63" s="168" t="s">
        <v>879</v>
      </c>
      <c r="B63" s="169" t="s">
        <v>956</v>
      </c>
      <c r="C63" s="169" t="s">
        <v>345</v>
      </c>
      <c r="D63" s="190" t="s">
        <v>1054</v>
      </c>
      <c r="E63" s="189"/>
      <c r="F63" s="189"/>
    </row>
    <row r="64" spans="1:6" x14ac:dyDescent="0.25">
      <c r="A64" s="168" t="s">
        <v>880</v>
      </c>
      <c r="B64" s="169" t="s">
        <v>957</v>
      </c>
      <c r="C64" s="169" t="s">
        <v>346</v>
      </c>
      <c r="D64" s="190" t="s">
        <v>1055</v>
      </c>
      <c r="E64" s="189"/>
      <c r="F64" s="189"/>
    </row>
    <row r="65" spans="1:6" x14ac:dyDescent="0.25">
      <c r="A65" s="168" t="s">
        <v>881</v>
      </c>
      <c r="B65" s="169" t="s">
        <v>958</v>
      </c>
      <c r="C65" s="169" t="s">
        <v>350</v>
      </c>
      <c r="D65" s="190" t="s">
        <v>1056</v>
      </c>
      <c r="E65" s="189"/>
      <c r="F65" s="189"/>
    </row>
    <row r="66" spans="1:6" x14ac:dyDescent="0.25">
      <c r="A66" s="168" t="s">
        <v>882</v>
      </c>
      <c r="B66" s="169" t="s">
        <v>959</v>
      </c>
      <c r="C66" s="169" t="s">
        <v>349</v>
      </c>
      <c r="D66" s="190" t="s">
        <v>1057</v>
      </c>
      <c r="E66" s="189"/>
      <c r="F66" s="189"/>
    </row>
    <row r="67" spans="1:6" x14ac:dyDescent="0.25">
      <c r="A67" s="168" t="s">
        <v>883</v>
      </c>
      <c r="B67" s="169" t="s">
        <v>960</v>
      </c>
      <c r="C67" s="169" t="s">
        <v>351</v>
      </c>
      <c r="D67" s="190" t="s">
        <v>1058</v>
      </c>
      <c r="E67" s="189"/>
      <c r="F67" s="189"/>
    </row>
    <row r="68" spans="1:6" x14ac:dyDescent="0.25">
      <c r="A68" s="168" t="s">
        <v>884</v>
      </c>
      <c r="B68" s="169" t="s">
        <v>961</v>
      </c>
      <c r="C68" s="169" t="s">
        <v>352</v>
      </c>
      <c r="D68" s="190" t="s">
        <v>1059</v>
      </c>
      <c r="E68" s="189"/>
      <c r="F68" s="189"/>
    </row>
    <row r="69" spans="1:6" x14ac:dyDescent="0.25">
      <c r="A69" s="168" t="s">
        <v>885</v>
      </c>
      <c r="B69" s="169" t="s">
        <v>962</v>
      </c>
      <c r="C69" s="169" t="s">
        <v>353</v>
      </c>
      <c r="D69" s="190" t="s">
        <v>1060</v>
      </c>
      <c r="E69" s="189"/>
      <c r="F69" s="189"/>
    </row>
    <row r="70" spans="1:6" x14ac:dyDescent="0.25">
      <c r="A70" s="168" t="s">
        <v>886</v>
      </c>
      <c r="B70" s="169" t="s">
        <v>963</v>
      </c>
      <c r="C70" s="169" t="s">
        <v>379</v>
      </c>
      <c r="D70" s="190" t="s">
        <v>1061</v>
      </c>
      <c r="E70" s="189"/>
      <c r="F70" s="189"/>
    </row>
    <row r="71" spans="1:6" x14ac:dyDescent="0.25">
      <c r="A71" s="168" t="s">
        <v>887</v>
      </c>
      <c r="B71" s="169" t="s">
        <v>964</v>
      </c>
      <c r="C71" s="169" t="s">
        <v>380</v>
      </c>
      <c r="D71" s="190" t="s">
        <v>1062</v>
      </c>
      <c r="E71" s="189"/>
      <c r="F71" s="189"/>
    </row>
    <row r="72" spans="1:6" x14ac:dyDescent="0.25">
      <c r="A72" s="168" t="s">
        <v>888</v>
      </c>
      <c r="B72" s="169" t="s">
        <v>965</v>
      </c>
      <c r="C72" s="169" t="s">
        <v>347</v>
      </c>
      <c r="D72" s="190" t="s">
        <v>1063</v>
      </c>
      <c r="E72" s="189"/>
      <c r="F72" s="189"/>
    </row>
    <row r="73" spans="1:6" x14ac:dyDescent="0.25">
      <c r="A73" s="168" t="s">
        <v>889</v>
      </c>
      <c r="B73" s="169" t="s">
        <v>966</v>
      </c>
      <c r="C73" s="169" t="s">
        <v>354</v>
      </c>
      <c r="D73" s="190" t="s">
        <v>996</v>
      </c>
      <c r="E73" s="189"/>
      <c r="F73" s="189"/>
    </row>
    <row r="74" spans="1:6" x14ac:dyDescent="0.25">
      <c r="A74" s="168" t="s">
        <v>890</v>
      </c>
      <c r="B74" s="169" t="s">
        <v>967</v>
      </c>
      <c r="C74" s="169" t="s">
        <v>355</v>
      </c>
      <c r="D74" s="190" t="s">
        <v>997</v>
      </c>
      <c r="E74" s="189"/>
      <c r="F74" s="189"/>
    </row>
    <row r="75" spans="1:6" x14ac:dyDescent="0.25">
      <c r="A75" s="168" t="s">
        <v>891</v>
      </c>
      <c r="B75" s="169" t="s">
        <v>968</v>
      </c>
      <c r="C75" s="169" t="s">
        <v>356</v>
      </c>
      <c r="D75" s="190" t="s">
        <v>998</v>
      </c>
      <c r="E75" s="189"/>
      <c r="F75" s="189"/>
    </row>
    <row r="76" spans="1:6" x14ac:dyDescent="0.25">
      <c r="A76" s="168" t="s">
        <v>892</v>
      </c>
      <c r="B76" s="169" t="s">
        <v>969</v>
      </c>
      <c r="C76" s="169" t="s">
        <v>357</v>
      </c>
      <c r="D76" s="190" t="s">
        <v>999</v>
      </c>
      <c r="E76" s="189"/>
      <c r="F76" s="189"/>
    </row>
    <row r="77" spans="1:6" ht="30" x14ac:dyDescent="0.25">
      <c r="A77" s="168" t="s">
        <v>893</v>
      </c>
      <c r="B77" s="169" t="s">
        <v>970</v>
      </c>
      <c r="C77" s="169" t="s">
        <v>362</v>
      </c>
      <c r="D77" s="190" t="s">
        <v>1000</v>
      </c>
      <c r="E77" s="189"/>
      <c r="F77" s="189"/>
    </row>
    <row r="78" spans="1:6" x14ac:dyDescent="0.25">
      <c r="A78" s="168" t="s">
        <v>894</v>
      </c>
      <c r="B78" s="169" t="s">
        <v>971</v>
      </c>
      <c r="C78" s="169" t="s">
        <v>521</v>
      </c>
      <c r="D78" s="190" t="s">
        <v>1001</v>
      </c>
      <c r="E78" s="189"/>
      <c r="F78" s="189"/>
    </row>
    <row r="79" spans="1:6" x14ac:dyDescent="0.25">
      <c r="A79" s="168" t="s">
        <v>895</v>
      </c>
      <c r="B79" s="169" t="s">
        <v>972</v>
      </c>
      <c r="C79" s="169" t="s">
        <v>363</v>
      </c>
      <c r="D79" s="190" t="s">
        <v>1002</v>
      </c>
      <c r="E79" s="189"/>
      <c r="F79" s="189"/>
    </row>
    <row r="80" spans="1:6" x14ac:dyDescent="0.25">
      <c r="A80" s="168" t="s">
        <v>896</v>
      </c>
      <c r="B80" s="169" t="s">
        <v>973</v>
      </c>
      <c r="C80" s="169" t="s">
        <v>364</v>
      </c>
      <c r="D80" s="190" t="s">
        <v>1003</v>
      </c>
      <c r="E80" s="189"/>
      <c r="F80" s="189"/>
    </row>
    <row r="81" spans="1:6" ht="30" x14ac:dyDescent="0.25">
      <c r="A81" s="168" t="s">
        <v>897</v>
      </c>
      <c r="B81" s="169" t="s">
        <v>974</v>
      </c>
      <c r="C81" s="169" t="s">
        <v>365</v>
      </c>
      <c r="D81" s="190" t="s">
        <v>1004</v>
      </c>
      <c r="E81" s="189"/>
      <c r="F81" s="189"/>
    </row>
    <row r="82" spans="1:6" ht="30" x14ac:dyDescent="0.25">
      <c r="A82" s="168" t="s">
        <v>898</v>
      </c>
      <c r="B82" s="169" t="s">
        <v>975</v>
      </c>
      <c r="C82" s="169" t="s">
        <v>366</v>
      </c>
      <c r="D82" s="190" t="s">
        <v>1005</v>
      </c>
      <c r="E82" s="189"/>
      <c r="F82" s="189"/>
    </row>
    <row r="83" spans="1:6" x14ac:dyDescent="0.25">
      <c r="A83" s="168" t="s">
        <v>899</v>
      </c>
      <c r="B83" s="169" t="s">
        <v>976</v>
      </c>
      <c r="C83" s="169" t="s">
        <v>367</v>
      </c>
      <c r="D83" s="190" t="s">
        <v>1006</v>
      </c>
      <c r="E83" s="189"/>
      <c r="F83" s="189"/>
    </row>
    <row r="84" spans="1:6" ht="30" x14ac:dyDescent="0.25">
      <c r="A84" s="168" t="s">
        <v>900</v>
      </c>
      <c r="B84" s="169" t="s">
        <v>977</v>
      </c>
      <c r="C84" s="169" t="s">
        <v>368</v>
      </c>
      <c r="D84" s="190" t="s">
        <v>1007</v>
      </c>
      <c r="E84" s="189"/>
      <c r="F84" s="189"/>
    </row>
    <row r="85" spans="1:6" x14ac:dyDescent="0.25">
      <c r="A85" s="168" t="s">
        <v>901</v>
      </c>
      <c r="B85" s="169" t="s">
        <v>978</v>
      </c>
      <c r="C85" s="169" t="s">
        <v>369</v>
      </c>
      <c r="D85" s="190" t="s">
        <v>1008</v>
      </c>
      <c r="E85" s="189"/>
      <c r="F85" s="189"/>
    </row>
    <row r="86" spans="1:6" ht="30" x14ac:dyDescent="0.25">
      <c r="A86" s="168" t="s">
        <v>902</v>
      </c>
      <c r="B86" s="169" t="s">
        <v>979</v>
      </c>
      <c r="C86" s="169" t="s">
        <v>370</v>
      </c>
      <c r="D86" s="190" t="s">
        <v>1009</v>
      </c>
      <c r="E86" s="189"/>
      <c r="F86" s="189"/>
    </row>
    <row r="87" spans="1:6" x14ac:dyDescent="0.25">
      <c r="A87" s="168" t="s">
        <v>903</v>
      </c>
      <c r="B87" s="169" t="s">
        <v>980</v>
      </c>
      <c r="C87" s="169" t="s">
        <v>371</v>
      </c>
      <c r="D87" s="190" t="s">
        <v>1010</v>
      </c>
      <c r="E87" s="189"/>
      <c r="F87" s="189"/>
    </row>
    <row r="88" spans="1:6" x14ac:dyDescent="0.25">
      <c r="A88" s="168" t="s">
        <v>904</v>
      </c>
      <c r="B88" s="169" t="s">
        <v>981</v>
      </c>
      <c r="C88" s="169" t="s">
        <v>372</v>
      </c>
      <c r="D88" s="190" t="s">
        <v>1011</v>
      </c>
      <c r="E88" s="189"/>
      <c r="F88" s="189"/>
    </row>
    <row r="89" spans="1:6" x14ac:dyDescent="0.25">
      <c r="A89" s="168" t="s">
        <v>905</v>
      </c>
      <c r="B89" s="169" t="s">
        <v>982</v>
      </c>
      <c r="C89" s="169" t="s">
        <v>373</v>
      </c>
      <c r="D89" s="190" t="s">
        <v>1012</v>
      </c>
      <c r="E89" s="189"/>
      <c r="F89" s="189"/>
    </row>
    <row r="90" spans="1:6" x14ac:dyDescent="0.25">
      <c r="A90" s="168" t="s">
        <v>906</v>
      </c>
      <c r="B90" s="169" t="s">
        <v>983</v>
      </c>
      <c r="C90" s="169" t="s">
        <v>374</v>
      </c>
      <c r="D90" s="190" t="s">
        <v>1013</v>
      </c>
      <c r="E90" s="189"/>
      <c r="F90" s="189"/>
    </row>
    <row r="91" spans="1:6" x14ac:dyDescent="0.25">
      <c r="A91" s="168" t="s">
        <v>907</v>
      </c>
      <c r="B91" s="169" t="s">
        <v>984</v>
      </c>
      <c r="C91" s="169" t="s">
        <v>358</v>
      </c>
      <c r="D91" s="190" t="s">
        <v>1014</v>
      </c>
      <c r="E91" s="189"/>
      <c r="F91" s="189"/>
    </row>
    <row r="92" spans="1:6" x14ac:dyDescent="0.25">
      <c r="A92" s="168" t="s">
        <v>908</v>
      </c>
      <c r="B92" s="169" t="s">
        <v>985</v>
      </c>
      <c r="C92" s="169" t="s">
        <v>359</v>
      </c>
      <c r="D92" s="190" t="s">
        <v>1015</v>
      </c>
      <c r="E92" s="189"/>
      <c r="F92" s="189"/>
    </row>
    <row r="93" spans="1:6" x14ac:dyDescent="0.25">
      <c r="A93" s="168" t="s">
        <v>909</v>
      </c>
      <c r="B93" s="169" t="s">
        <v>986</v>
      </c>
      <c r="C93" s="169" t="s">
        <v>360</v>
      </c>
      <c r="D93" s="190" t="s">
        <v>1016</v>
      </c>
      <c r="E93" s="189"/>
      <c r="F93" s="189"/>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Background</vt:lpstr>
      <vt:lpstr>Cross-reference table</vt:lpstr>
      <vt:lpstr>Languages</vt:lpstr>
      <vt:lpstr>'Cross-reference table'!_FilterDatabase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2025-02-25T13:43:05Z</dcterms:created>
  <dcterms:modified xsi:type="dcterms:W3CDTF">2025-03-25T09:19:59Z</dcterms:modified>
</cp:coreProperties>
</file>